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IAL RPTS\AAA\2024\"/>
    </mc:Choice>
  </mc:AlternateContent>
  <xr:revisionPtr revIDLastSave="0" documentId="8_{8A92D65D-5606-4616-846F-5032AAEFFCEE}" xr6:coauthVersionLast="47" xr6:coauthVersionMax="47" xr10:uidLastSave="{00000000-0000-0000-0000-000000000000}"/>
  <bookViews>
    <workbookView xWindow="22932" yWindow="-108" windowWidth="23256" windowHeight="14160" xr2:uid="{00000000-000D-0000-FFFF-FFFF00000000}"/>
  </bookViews>
  <sheets>
    <sheet name="Profit and Loss" sheetId="1" r:id="rId1"/>
  </sheets>
  <calcPr calcId="181029"/>
</workbook>
</file>

<file path=xl/calcChain.xml><?xml version="1.0" encoding="utf-8"?>
<calcChain xmlns="http://schemas.openxmlformats.org/spreadsheetml/2006/main">
  <c r="AA72" i="1" l="1"/>
  <c r="O72" i="1"/>
  <c r="K72" i="1"/>
  <c r="AA71" i="1"/>
  <c r="Z71" i="1"/>
  <c r="Y71" i="1"/>
  <c r="X71" i="1"/>
  <c r="W71" i="1"/>
  <c r="V71" i="1"/>
  <c r="U71" i="1"/>
  <c r="T71" i="1"/>
  <c r="R71" i="1"/>
  <c r="Q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AB71" i="1" s="1"/>
  <c r="AB70" i="1"/>
  <c r="K70" i="1"/>
  <c r="AC70" i="1" s="1"/>
  <c r="H70" i="1"/>
  <c r="AB69" i="1"/>
  <c r="S69" i="1"/>
  <c r="P69" i="1"/>
  <c r="P71" i="1" s="1"/>
  <c r="AA67" i="1"/>
  <c r="Z67" i="1"/>
  <c r="Z72" i="1" s="1"/>
  <c r="Y67" i="1"/>
  <c r="Y72" i="1" s="1"/>
  <c r="X67" i="1"/>
  <c r="X72" i="1" s="1"/>
  <c r="W67" i="1"/>
  <c r="W72" i="1" s="1"/>
  <c r="V67" i="1"/>
  <c r="V72" i="1" s="1"/>
  <c r="U67" i="1"/>
  <c r="U72" i="1" s="1"/>
  <c r="T67" i="1"/>
  <c r="T72" i="1" s="1"/>
  <c r="S67" i="1"/>
  <c r="R67" i="1"/>
  <c r="R72" i="1" s="1"/>
  <c r="Q67" i="1"/>
  <c r="Q72" i="1" s="1"/>
  <c r="P67" i="1"/>
  <c r="P72" i="1" s="1"/>
  <c r="O67" i="1"/>
  <c r="N67" i="1"/>
  <c r="N72" i="1" s="1"/>
  <c r="M67" i="1"/>
  <c r="M72" i="1" s="1"/>
  <c r="L67" i="1"/>
  <c r="L72" i="1" s="1"/>
  <c r="K67" i="1"/>
  <c r="J67" i="1"/>
  <c r="J72" i="1" s="1"/>
  <c r="I67" i="1"/>
  <c r="I72" i="1" s="1"/>
  <c r="H67" i="1"/>
  <c r="H72" i="1" s="1"/>
  <c r="G67" i="1"/>
  <c r="G72" i="1" s="1"/>
  <c r="F67" i="1"/>
  <c r="F72" i="1" s="1"/>
  <c r="E67" i="1"/>
  <c r="E72" i="1" s="1"/>
  <c r="D67" i="1"/>
  <c r="D72" i="1" s="1"/>
  <c r="C67" i="1"/>
  <c r="AC67" i="1" s="1"/>
  <c r="B67" i="1"/>
  <c r="B72" i="1" s="1"/>
  <c r="AB72" i="1" s="1"/>
  <c r="AB66" i="1"/>
  <c r="G66" i="1"/>
  <c r="AC66" i="1" s="1"/>
  <c r="D66" i="1"/>
  <c r="O62" i="1"/>
  <c r="AC62" i="1" s="1"/>
  <c r="L62" i="1"/>
  <c r="AB62" i="1" s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AC61" i="1" s="1"/>
  <c r="B61" i="1"/>
  <c r="AB61" i="1" s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AC60" i="1" s="1"/>
  <c r="B60" i="1"/>
  <c r="AB60" i="1" s="1"/>
  <c r="AB59" i="1"/>
  <c r="I59" i="1"/>
  <c r="AC59" i="1" s="1"/>
  <c r="F59" i="1"/>
  <c r="AA58" i="1"/>
  <c r="Z58" i="1"/>
  <c r="Y58" i="1"/>
  <c r="X58" i="1"/>
  <c r="W58" i="1"/>
  <c r="V58" i="1"/>
  <c r="U58" i="1"/>
  <c r="T58" i="1"/>
  <c r="R58" i="1"/>
  <c r="O58" i="1"/>
  <c r="L58" i="1"/>
  <c r="K58" i="1"/>
  <c r="J58" i="1"/>
  <c r="I58" i="1"/>
  <c r="H58" i="1"/>
  <c r="F58" i="1"/>
  <c r="E58" i="1"/>
  <c r="D58" i="1"/>
  <c r="C58" i="1"/>
  <c r="B58" i="1"/>
  <c r="AB57" i="1"/>
  <c r="AA57" i="1"/>
  <c r="X57" i="1"/>
  <c r="Q57" i="1"/>
  <c r="Q58" i="1" s="1"/>
  <c r="N57" i="1"/>
  <c r="N58" i="1" s="1"/>
  <c r="C57" i="1"/>
  <c r="AC57" i="1" s="1"/>
  <c r="S56" i="1"/>
  <c r="AC56" i="1" s="1"/>
  <c r="P56" i="1"/>
  <c r="M55" i="1"/>
  <c r="M58" i="1" s="1"/>
  <c r="J55" i="1"/>
  <c r="G55" i="1"/>
  <c r="D55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AB54" i="1" s="1"/>
  <c r="C54" i="1"/>
  <c r="AC54" i="1" s="1"/>
  <c r="B54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AB53" i="1" s="1"/>
  <c r="C53" i="1"/>
  <c r="AC53" i="1" s="1"/>
  <c r="B53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AB52" i="1" s="1"/>
  <c r="C52" i="1"/>
  <c r="AC52" i="1" s="1"/>
  <c r="B52" i="1"/>
  <c r="AB51" i="1"/>
  <c r="S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AC51" i="1" s="1"/>
  <c r="B51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AC50" i="1" s="1"/>
  <c r="B50" i="1"/>
  <c r="AB50" i="1" s="1"/>
  <c r="AB49" i="1"/>
  <c r="E49" i="1"/>
  <c r="AC49" i="1" s="1"/>
  <c r="B49" i="1"/>
  <c r="AB48" i="1"/>
  <c r="AA48" i="1"/>
  <c r="AC48" i="1" s="1"/>
  <c r="X48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AC47" i="1" s="1"/>
  <c r="B47" i="1"/>
  <c r="AB47" i="1" s="1"/>
  <c r="X46" i="1"/>
  <c r="T46" i="1"/>
  <c r="S46" i="1"/>
  <c r="H46" i="1"/>
  <c r="D46" i="1"/>
  <c r="AA45" i="1"/>
  <c r="Z45" i="1"/>
  <c r="Z46" i="1" s="1"/>
  <c r="Y45" i="1"/>
  <c r="X45" i="1"/>
  <c r="W45" i="1"/>
  <c r="V45" i="1"/>
  <c r="U45" i="1"/>
  <c r="T45" i="1"/>
  <c r="S45" i="1"/>
  <c r="R45" i="1"/>
  <c r="Q45" i="1"/>
  <c r="P45" i="1"/>
  <c r="P46" i="1" s="1"/>
  <c r="O45" i="1"/>
  <c r="O46" i="1" s="1"/>
  <c r="N45" i="1"/>
  <c r="M45" i="1"/>
  <c r="L45" i="1"/>
  <c r="K45" i="1"/>
  <c r="J45" i="1"/>
  <c r="J46" i="1" s="1"/>
  <c r="I45" i="1"/>
  <c r="H45" i="1"/>
  <c r="G45" i="1"/>
  <c r="F45" i="1"/>
  <c r="E45" i="1"/>
  <c r="D45" i="1"/>
  <c r="C45" i="1"/>
  <c r="AC45" i="1" s="1"/>
  <c r="B45" i="1"/>
  <c r="AB45" i="1" s="1"/>
  <c r="AA44" i="1"/>
  <c r="Z44" i="1"/>
  <c r="Y44" i="1"/>
  <c r="Y46" i="1" s="1"/>
  <c r="X44" i="1"/>
  <c r="W44" i="1"/>
  <c r="V44" i="1"/>
  <c r="U44" i="1"/>
  <c r="U46" i="1" s="1"/>
  <c r="T44" i="1"/>
  <c r="S44" i="1"/>
  <c r="R44" i="1"/>
  <c r="Q44" i="1"/>
  <c r="Q46" i="1" s="1"/>
  <c r="P44" i="1"/>
  <c r="O44" i="1"/>
  <c r="N44" i="1"/>
  <c r="N46" i="1" s="1"/>
  <c r="M44" i="1"/>
  <c r="M46" i="1" s="1"/>
  <c r="L44" i="1"/>
  <c r="K44" i="1"/>
  <c r="J44" i="1"/>
  <c r="I44" i="1"/>
  <c r="I46" i="1" s="1"/>
  <c r="H44" i="1"/>
  <c r="G44" i="1"/>
  <c r="F44" i="1"/>
  <c r="E44" i="1"/>
  <c r="E46" i="1" s="1"/>
  <c r="D44" i="1"/>
  <c r="C44" i="1"/>
  <c r="AC44" i="1" s="1"/>
  <c r="B44" i="1"/>
  <c r="O43" i="1"/>
  <c r="L43" i="1"/>
  <c r="L46" i="1" s="1"/>
  <c r="K43" i="1"/>
  <c r="AC43" i="1" s="1"/>
  <c r="H43" i="1"/>
  <c r="AB43" i="1" s="1"/>
  <c r="AC42" i="1"/>
  <c r="AB42" i="1"/>
  <c r="AA41" i="1"/>
  <c r="W41" i="1"/>
  <c r="V41" i="1"/>
  <c r="S41" i="1"/>
  <c r="R41" i="1"/>
  <c r="P41" i="1"/>
  <c r="K41" i="1"/>
  <c r="G41" i="1"/>
  <c r="F41" i="1"/>
  <c r="C41" i="1"/>
  <c r="B41" i="1"/>
  <c r="AA40" i="1"/>
  <c r="Z40" i="1"/>
  <c r="Z41" i="1" s="1"/>
  <c r="Y40" i="1"/>
  <c r="Y41" i="1" s="1"/>
  <c r="X40" i="1"/>
  <c r="X41" i="1" s="1"/>
  <c r="W40" i="1"/>
  <c r="V40" i="1"/>
  <c r="U40" i="1"/>
  <c r="U41" i="1" s="1"/>
  <c r="T40" i="1"/>
  <c r="T41" i="1" s="1"/>
  <c r="S40" i="1"/>
  <c r="R40" i="1"/>
  <c r="Q40" i="1"/>
  <c r="Q41" i="1" s="1"/>
  <c r="P40" i="1"/>
  <c r="O40" i="1"/>
  <c r="O41" i="1" s="1"/>
  <c r="N40" i="1"/>
  <c r="N41" i="1" s="1"/>
  <c r="M40" i="1"/>
  <c r="M41" i="1" s="1"/>
  <c r="L40" i="1"/>
  <c r="L41" i="1" s="1"/>
  <c r="K40" i="1"/>
  <c r="J40" i="1"/>
  <c r="J41" i="1" s="1"/>
  <c r="I40" i="1"/>
  <c r="I41" i="1" s="1"/>
  <c r="H40" i="1"/>
  <c r="H41" i="1" s="1"/>
  <c r="G40" i="1"/>
  <c r="F40" i="1"/>
  <c r="E40" i="1"/>
  <c r="E41" i="1" s="1"/>
  <c r="D40" i="1"/>
  <c r="D41" i="1" s="1"/>
  <c r="C40" i="1"/>
  <c r="AC40" i="1" s="1"/>
  <c r="B40" i="1"/>
  <c r="AC39" i="1"/>
  <c r="AB39" i="1"/>
  <c r="AC38" i="1"/>
  <c r="E38" i="1"/>
  <c r="B38" i="1"/>
  <c r="AB38" i="1" s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AC37" i="1" s="1"/>
  <c r="D37" i="1"/>
  <c r="C37" i="1"/>
  <c r="B37" i="1"/>
  <c r="AB37" i="1" s="1"/>
  <c r="AB36" i="1"/>
  <c r="Y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AC36" i="1" s="1"/>
  <c r="B36" i="1"/>
  <c r="AA35" i="1"/>
  <c r="Z35" i="1"/>
  <c r="Y35" i="1"/>
  <c r="X35" i="1"/>
  <c r="W35" i="1"/>
  <c r="V35" i="1"/>
  <c r="U35" i="1"/>
  <c r="T35" i="1"/>
  <c r="R35" i="1"/>
  <c r="Q35" i="1"/>
  <c r="O35" i="1"/>
  <c r="N35" i="1"/>
  <c r="M35" i="1"/>
  <c r="L35" i="1"/>
  <c r="K35" i="1"/>
  <c r="J35" i="1"/>
  <c r="I35" i="1"/>
  <c r="H35" i="1"/>
  <c r="F35" i="1"/>
  <c r="E35" i="1"/>
  <c r="C35" i="1"/>
  <c r="B35" i="1"/>
  <c r="AC34" i="1"/>
  <c r="S34" i="1"/>
  <c r="S35" i="1" s="1"/>
  <c r="P34" i="1"/>
  <c r="G33" i="1"/>
  <c r="D33" i="1"/>
  <c r="AA32" i="1"/>
  <c r="Z32" i="1"/>
  <c r="Y32" i="1"/>
  <c r="X32" i="1"/>
  <c r="W32" i="1"/>
  <c r="V32" i="1"/>
  <c r="U32" i="1"/>
  <c r="T32" i="1"/>
  <c r="S32" i="1"/>
  <c r="R32" i="1"/>
  <c r="Q32" i="1"/>
  <c r="P32" i="1"/>
  <c r="N32" i="1"/>
  <c r="K32" i="1"/>
  <c r="I32" i="1"/>
  <c r="H32" i="1"/>
  <c r="F32" i="1"/>
  <c r="E32" i="1"/>
  <c r="C32" i="1"/>
  <c r="AC32" i="1" s="1"/>
  <c r="B32" i="1"/>
  <c r="AA31" i="1"/>
  <c r="Y31" i="1"/>
  <c r="X31" i="1"/>
  <c r="W31" i="1"/>
  <c r="V31" i="1"/>
  <c r="U31" i="1"/>
  <c r="S31" i="1"/>
  <c r="R31" i="1"/>
  <c r="P31" i="1"/>
  <c r="O31" i="1"/>
  <c r="M31" i="1"/>
  <c r="M63" i="1" s="1"/>
  <c r="L31" i="1"/>
  <c r="J31" i="1"/>
  <c r="I31" i="1"/>
  <c r="I63" i="1" s="1"/>
  <c r="G31" i="1"/>
  <c r="F31" i="1"/>
  <c r="E31" i="1"/>
  <c r="D31" i="1"/>
  <c r="C31" i="1"/>
  <c r="AC31" i="1" s="1"/>
  <c r="AC30" i="1"/>
  <c r="AB30" i="1"/>
  <c r="Q30" i="1"/>
  <c r="Q31" i="1" s="1"/>
  <c r="Q63" i="1" s="1"/>
  <c r="N30" i="1"/>
  <c r="N31" i="1" s="1"/>
  <c r="AC29" i="1"/>
  <c r="Z29" i="1"/>
  <c r="Z31" i="1" s="1"/>
  <c r="W29" i="1"/>
  <c r="T29" i="1"/>
  <c r="T31" i="1" s="1"/>
  <c r="K29" i="1"/>
  <c r="K31" i="1" s="1"/>
  <c r="H29" i="1"/>
  <c r="H31" i="1" s="1"/>
  <c r="E29" i="1"/>
  <c r="B29" i="1"/>
  <c r="B31" i="1" s="1"/>
  <c r="X27" i="1"/>
  <c r="Y26" i="1"/>
  <c r="U26" i="1"/>
  <c r="T26" i="1"/>
  <c r="Q26" i="1"/>
  <c r="P26" i="1"/>
  <c r="K26" i="1"/>
  <c r="C26" i="1"/>
  <c r="AA25" i="1"/>
  <c r="AA26" i="1" s="1"/>
  <c r="Z25" i="1"/>
  <c r="Z26" i="1" s="1"/>
  <c r="Y25" i="1"/>
  <c r="X25" i="1"/>
  <c r="X26" i="1" s="1"/>
  <c r="W25" i="1"/>
  <c r="W26" i="1" s="1"/>
  <c r="V25" i="1"/>
  <c r="V26" i="1" s="1"/>
  <c r="U25" i="1"/>
  <c r="T25" i="1"/>
  <c r="S25" i="1"/>
  <c r="S26" i="1" s="1"/>
  <c r="R25" i="1"/>
  <c r="R26" i="1" s="1"/>
  <c r="Q25" i="1"/>
  <c r="P25" i="1"/>
  <c r="O25" i="1"/>
  <c r="O26" i="1" s="1"/>
  <c r="N25" i="1"/>
  <c r="N26" i="1" s="1"/>
  <c r="M25" i="1"/>
  <c r="M26" i="1" s="1"/>
  <c r="L25" i="1"/>
  <c r="L26" i="1" s="1"/>
  <c r="K25" i="1"/>
  <c r="J25" i="1"/>
  <c r="J26" i="1" s="1"/>
  <c r="I25" i="1"/>
  <c r="I26" i="1" s="1"/>
  <c r="H25" i="1"/>
  <c r="H26" i="1" s="1"/>
  <c r="G25" i="1"/>
  <c r="G26" i="1" s="1"/>
  <c r="F25" i="1"/>
  <c r="F26" i="1" s="1"/>
  <c r="E25" i="1"/>
  <c r="E26" i="1" s="1"/>
  <c r="D25" i="1"/>
  <c r="D26" i="1" s="1"/>
  <c r="C25" i="1"/>
  <c r="AC25" i="1" s="1"/>
  <c r="B25" i="1"/>
  <c r="AB25" i="1" s="1"/>
  <c r="C22" i="1"/>
  <c r="AA21" i="1"/>
  <c r="AA22" i="1" s="1"/>
  <c r="Z21" i="1"/>
  <c r="Y21" i="1"/>
  <c r="X21" i="1"/>
  <c r="W21" i="1"/>
  <c r="W22" i="1" s="1"/>
  <c r="V21" i="1"/>
  <c r="U21" i="1"/>
  <c r="T21" i="1"/>
  <c r="S21" i="1"/>
  <c r="S22" i="1" s="1"/>
  <c r="R21" i="1"/>
  <c r="Q21" i="1"/>
  <c r="P21" i="1"/>
  <c r="O21" i="1"/>
  <c r="O22" i="1" s="1"/>
  <c r="N21" i="1"/>
  <c r="M21" i="1"/>
  <c r="L21" i="1"/>
  <c r="K21" i="1"/>
  <c r="K22" i="1" s="1"/>
  <c r="J21" i="1"/>
  <c r="I21" i="1"/>
  <c r="H21" i="1"/>
  <c r="G21" i="1"/>
  <c r="G22" i="1" s="1"/>
  <c r="F21" i="1"/>
  <c r="E21" i="1"/>
  <c r="D21" i="1"/>
  <c r="B21" i="1"/>
  <c r="AB21" i="1" s="1"/>
  <c r="AA20" i="1"/>
  <c r="Z20" i="1"/>
  <c r="Z22" i="1" s="1"/>
  <c r="Y20" i="1"/>
  <c r="Y22" i="1" s="1"/>
  <c r="X20" i="1"/>
  <c r="X22" i="1" s="1"/>
  <c r="W20" i="1"/>
  <c r="V20" i="1"/>
  <c r="V22" i="1" s="1"/>
  <c r="U20" i="1"/>
  <c r="U22" i="1" s="1"/>
  <c r="T20" i="1"/>
  <c r="T22" i="1" s="1"/>
  <c r="S20" i="1"/>
  <c r="R20" i="1"/>
  <c r="R22" i="1" s="1"/>
  <c r="Q20" i="1"/>
  <c r="Q22" i="1" s="1"/>
  <c r="P20" i="1"/>
  <c r="P22" i="1" s="1"/>
  <c r="O20" i="1"/>
  <c r="N20" i="1"/>
  <c r="N22" i="1" s="1"/>
  <c r="M20" i="1"/>
  <c r="M22" i="1" s="1"/>
  <c r="L20" i="1"/>
  <c r="L22" i="1" s="1"/>
  <c r="K20" i="1"/>
  <c r="J20" i="1"/>
  <c r="J22" i="1" s="1"/>
  <c r="I20" i="1"/>
  <c r="I22" i="1" s="1"/>
  <c r="H20" i="1"/>
  <c r="H22" i="1" s="1"/>
  <c r="G20" i="1"/>
  <c r="F20" i="1"/>
  <c r="F22" i="1" s="1"/>
  <c r="E20" i="1"/>
  <c r="E22" i="1" s="1"/>
  <c r="D20" i="1"/>
  <c r="D22" i="1" s="1"/>
  <c r="C20" i="1"/>
  <c r="B20" i="1"/>
  <c r="AB20" i="1" s="1"/>
  <c r="AC19" i="1"/>
  <c r="AA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Z18" i="1"/>
  <c r="Y18" i="1"/>
  <c r="W18" i="1"/>
  <c r="V18" i="1"/>
  <c r="T18" i="1"/>
  <c r="M18" i="1"/>
  <c r="K18" i="1"/>
  <c r="J18" i="1"/>
  <c r="I18" i="1"/>
  <c r="H18" i="1"/>
  <c r="G18" i="1"/>
  <c r="F18" i="1"/>
  <c r="E18" i="1"/>
  <c r="D18" i="1"/>
  <c r="C18" i="1"/>
  <c r="AC18" i="1" s="1"/>
  <c r="B18" i="1"/>
  <c r="AB18" i="1" s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AB17" i="1" s="1"/>
  <c r="R16" i="1"/>
  <c r="J16" i="1"/>
  <c r="Z15" i="1"/>
  <c r="Z16" i="1" s="1"/>
  <c r="Y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AC14" i="1" s="1"/>
  <c r="D14" i="1"/>
  <c r="AB14" i="1" s="1"/>
  <c r="C14" i="1"/>
  <c r="B14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AC13" i="1" s="1"/>
  <c r="D13" i="1"/>
  <c r="AB13" i="1" s="1"/>
  <c r="C13" i="1"/>
  <c r="B13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AC12" i="1" s="1"/>
  <c r="D12" i="1"/>
  <c r="AB12" i="1" s="1"/>
  <c r="C12" i="1"/>
  <c r="B12" i="1"/>
  <c r="Y11" i="1"/>
  <c r="X11" i="1"/>
  <c r="X16" i="1" s="1"/>
  <c r="X23" i="1" s="1"/>
  <c r="U11" i="1"/>
  <c r="U16" i="1" s="1"/>
  <c r="U23" i="1" s="1"/>
  <c r="U27" i="1" s="1"/>
  <c r="T11" i="1"/>
  <c r="T16" i="1" s="1"/>
  <c r="P11" i="1"/>
  <c r="P16" i="1" s="1"/>
  <c r="P23" i="1" s="1"/>
  <c r="P27" i="1" s="1"/>
  <c r="M11" i="1"/>
  <c r="M16" i="1" s="1"/>
  <c r="M23" i="1" s="1"/>
  <c r="M27" i="1" s="1"/>
  <c r="M64" i="1" s="1"/>
  <c r="M73" i="1" s="1"/>
  <c r="I11" i="1"/>
  <c r="H11" i="1"/>
  <c r="H16" i="1" s="1"/>
  <c r="H23" i="1" s="1"/>
  <c r="H27" i="1" s="1"/>
  <c r="E11" i="1"/>
  <c r="E16" i="1" s="1"/>
  <c r="E23" i="1" s="1"/>
  <c r="E27" i="1" s="1"/>
  <c r="D11" i="1"/>
  <c r="D16" i="1" s="1"/>
  <c r="AA10" i="1"/>
  <c r="X10" i="1"/>
  <c r="W10" i="1"/>
  <c r="U10" i="1"/>
  <c r="T10" i="1"/>
  <c r="S10" i="1"/>
  <c r="R10" i="1"/>
  <c r="Q10" i="1"/>
  <c r="Q11" i="1" s="1"/>
  <c r="P10" i="1"/>
  <c r="O10" i="1"/>
  <c r="N10" i="1"/>
  <c r="L10" i="1"/>
  <c r="L11" i="1" s="1"/>
  <c r="AA9" i="1"/>
  <c r="AA11" i="1" s="1"/>
  <c r="AA16" i="1" s="1"/>
  <c r="AA23" i="1" s="1"/>
  <c r="AA27" i="1" s="1"/>
  <c r="Z9" i="1"/>
  <c r="Z11" i="1" s="1"/>
  <c r="Y9" i="1"/>
  <c r="X9" i="1"/>
  <c r="W9" i="1"/>
  <c r="W11" i="1" s="1"/>
  <c r="W16" i="1" s="1"/>
  <c r="W23" i="1" s="1"/>
  <c r="W27" i="1" s="1"/>
  <c r="V9" i="1"/>
  <c r="V11" i="1" s="1"/>
  <c r="U9" i="1"/>
  <c r="T9" i="1"/>
  <c r="S9" i="1"/>
  <c r="S11" i="1" s="1"/>
  <c r="S16" i="1" s="1"/>
  <c r="S23" i="1" s="1"/>
  <c r="S27" i="1" s="1"/>
  <c r="R9" i="1"/>
  <c r="R11" i="1" s="1"/>
  <c r="Q9" i="1"/>
  <c r="P9" i="1"/>
  <c r="O9" i="1"/>
  <c r="O11" i="1" s="1"/>
  <c r="O16" i="1" s="1"/>
  <c r="O23" i="1" s="1"/>
  <c r="O27" i="1" s="1"/>
  <c r="N9" i="1"/>
  <c r="N11" i="1" s="1"/>
  <c r="N16" i="1" s="1"/>
  <c r="N23" i="1" s="1"/>
  <c r="N27" i="1" s="1"/>
  <c r="M9" i="1"/>
  <c r="L9" i="1"/>
  <c r="K9" i="1"/>
  <c r="K11" i="1" s="1"/>
  <c r="K16" i="1" s="1"/>
  <c r="K23" i="1" s="1"/>
  <c r="K27" i="1" s="1"/>
  <c r="J9" i="1"/>
  <c r="J11" i="1" s="1"/>
  <c r="I9" i="1"/>
  <c r="H9" i="1"/>
  <c r="G9" i="1"/>
  <c r="G11" i="1" s="1"/>
  <c r="G16" i="1" s="1"/>
  <c r="G23" i="1" s="1"/>
  <c r="G27" i="1" s="1"/>
  <c r="F9" i="1"/>
  <c r="F11" i="1" s="1"/>
  <c r="F16" i="1" s="1"/>
  <c r="F23" i="1" s="1"/>
  <c r="F27" i="1" s="1"/>
  <c r="E9" i="1"/>
  <c r="D9" i="1"/>
  <c r="C9" i="1"/>
  <c r="B9" i="1"/>
  <c r="Y8" i="1"/>
  <c r="V8" i="1"/>
  <c r="V16" i="1" s="1"/>
  <c r="Q8" i="1"/>
  <c r="O8" i="1"/>
  <c r="AC8" i="1" s="1"/>
  <c r="N8" i="1"/>
  <c r="L8" i="1"/>
  <c r="Z23" i="1" l="1"/>
  <c r="Z27" i="1" s="1"/>
  <c r="J23" i="1"/>
  <c r="J27" i="1" s="1"/>
  <c r="J64" i="1" s="1"/>
  <c r="J73" i="1" s="1"/>
  <c r="O64" i="1"/>
  <c r="O73" i="1" s="1"/>
  <c r="AB41" i="1"/>
  <c r="AB58" i="1"/>
  <c r="V23" i="1"/>
  <c r="V27" i="1" s="1"/>
  <c r="R23" i="1"/>
  <c r="R27" i="1" s="1"/>
  <c r="AC17" i="1"/>
  <c r="AC26" i="1"/>
  <c r="D35" i="1"/>
  <c r="AB33" i="1"/>
  <c r="L16" i="1"/>
  <c r="L23" i="1" s="1"/>
  <c r="L27" i="1" s="1"/>
  <c r="L64" i="1" s="1"/>
  <c r="L73" i="1" s="1"/>
  <c r="AB8" i="1"/>
  <c r="B22" i="1"/>
  <c r="AB22" i="1" s="1"/>
  <c r="O63" i="1"/>
  <c r="AB56" i="1"/>
  <c r="P58" i="1"/>
  <c r="S72" i="1"/>
  <c r="Y16" i="1"/>
  <c r="Y23" i="1" s="1"/>
  <c r="Y27" i="1" s="1"/>
  <c r="Y64" i="1" s="1"/>
  <c r="Y73" i="1" s="1"/>
  <c r="AC10" i="1"/>
  <c r="I16" i="1"/>
  <c r="I23" i="1" s="1"/>
  <c r="I27" i="1" s="1"/>
  <c r="I64" i="1" s="1"/>
  <c r="I73" i="1" s="1"/>
  <c r="AC15" i="1"/>
  <c r="AC21" i="1"/>
  <c r="AC22" i="1"/>
  <c r="AB29" i="1"/>
  <c r="E63" i="1"/>
  <c r="E64" i="1" s="1"/>
  <c r="E73" i="1" s="1"/>
  <c r="J63" i="1"/>
  <c r="B46" i="1"/>
  <c r="AB44" i="1"/>
  <c r="F46" i="1"/>
  <c r="R46" i="1"/>
  <c r="R63" i="1" s="1"/>
  <c r="V46" i="1"/>
  <c r="V63" i="1" s="1"/>
  <c r="C46" i="1"/>
  <c r="C63" i="1" s="1"/>
  <c r="AC55" i="1"/>
  <c r="G58" i="1"/>
  <c r="S58" i="1"/>
  <c r="S63" i="1" s="1"/>
  <c r="S64" i="1" s="1"/>
  <c r="S73" i="1" s="1"/>
  <c r="Q16" i="1"/>
  <c r="Q23" i="1" s="1"/>
  <c r="Q27" i="1" s="1"/>
  <c r="Q64" i="1" s="1"/>
  <c r="Q73" i="1" s="1"/>
  <c r="C11" i="1"/>
  <c r="AC9" i="1"/>
  <c r="U64" i="1"/>
  <c r="U73" i="1" s="1"/>
  <c r="AB10" i="1"/>
  <c r="AB15" i="1"/>
  <c r="H63" i="1"/>
  <c r="H64" i="1" s="1"/>
  <c r="H73" i="1" s="1"/>
  <c r="G35" i="1"/>
  <c r="AC33" i="1"/>
  <c r="AB40" i="1"/>
  <c r="B11" i="1"/>
  <c r="AB9" i="1"/>
  <c r="D23" i="1"/>
  <c r="D27" i="1" s="1"/>
  <c r="T23" i="1"/>
  <c r="T27" i="1" s="1"/>
  <c r="AB19" i="1"/>
  <c r="AC20" i="1"/>
  <c r="B26" i="1"/>
  <c r="AB26" i="1" s="1"/>
  <c r="T63" i="1"/>
  <c r="F63" i="1"/>
  <c r="F64" i="1" s="1"/>
  <c r="F73" i="1" s="1"/>
  <c r="AB31" i="1"/>
  <c r="AC35" i="1"/>
  <c r="G46" i="1"/>
  <c r="K46" i="1"/>
  <c r="K63" i="1" s="1"/>
  <c r="K64" i="1" s="1"/>
  <c r="K73" i="1" s="1"/>
  <c r="W46" i="1"/>
  <c r="W63" i="1" s="1"/>
  <c r="W64" i="1" s="1"/>
  <c r="W73" i="1" s="1"/>
  <c r="AA46" i="1"/>
  <c r="AA63" i="1" s="1"/>
  <c r="AA64" i="1" s="1"/>
  <c r="AA73" i="1" s="1"/>
  <c r="AC69" i="1"/>
  <c r="S71" i="1"/>
  <c r="N63" i="1"/>
  <c r="N64" i="1" s="1"/>
  <c r="N73" i="1" s="1"/>
  <c r="P63" i="1"/>
  <c r="P64" i="1" s="1"/>
  <c r="P73" i="1" s="1"/>
  <c r="X63" i="1"/>
  <c r="X64" i="1" s="1"/>
  <c r="X73" i="1" s="1"/>
  <c r="AC41" i="1"/>
  <c r="AC58" i="1"/>
  <c r="AC71" i="1"/>
  <c r="C72" i="1"/>
  <c r="Z63" i="1"/>
  <c r="D63" i="1"/>
  <c r="L63" i="1"/>
  <c r="U63" i="1"/>
  <c r="Y63" i="1"/>
  <c r="AB32" i="1"/>
  <c r="P35" i="1"/>
  <c r="AB35" i="1" s="1"/>
  <c r="AB34" i="1"/>
  <c r="AB55" i="1"/>
  <c r="AB67" i="1"/>
  <c r="AB11" i="1" l="1"/>
  <c r="B16" i="1"/>
  <c r="V64" i="1"/>
  <c r="V73" i="1" s="1"/>
  <c r="T64" i="1"/>
  <c r="T73" i="1" s="1"/>
  <c r="AC72" i="1"/>
  <c r="D64" i="1"/>
  <c r="D73" i="1" s="1"/>
  <c r="C16" i="1"/>
  <c r="AC11" i="1"/>
  <c r="Z64" i="1"/>
  <c r="Z73" i="1" s="1"/>
  <c r="AB46" i="1"/>
  <c r="B63" i="1"/>
  <c r="AB63" i="1" s="1"/>
  <c r="G63" i="1"/>
  <c r="G64" i="1" s="1"/>
  <c r="G73" i="1" s="1"/>
  <c r="AC46" i="1"/>
  <c r="R64" i="1"/>
  <c r="R73" i="1" s="1"/>
  <c r="AC16" i="1" l="1"/>
  <c r="C23" i="1"/>
  <c r="AB16" i="1"/>
  <c r="B23" i="1"/>
  <c r="AC63" i="1"/>
  <c r="AB23" i="1" l="1"/>
  <c r="B27" i="1"/>
  <c r="C27" i="1"/>
  <c r="AC23" i="1"/>
  <c r="B64" i="1" l="1"/>
  <c r="AB27" i="1"/>
  <c r="C64" i="1"/>
  <c r="AC27" i="1"/>
  <c r="AC64" i="1" l="1"/>
  <c r="C73" i="1"/>
  <c r="AC73" i="1" s="1"/>
  <c r="AB64" i="1"/>
  <c r="B73" i="1"/>
  <c r="AB73" i="1" s="1"/>
</calcChain>
</file>

<file path=xl/sharedStrings.xml><?xml version="1.0" encoding="utf-8"?>
<sst xmlns="http://schemas.openxmlformats.org/spreadsheetml/2006/main" count="113" uniqueCount="100">
  <si>
    <t>Sep 2023</t>
  </si>
  <si>
    <t>Oct 2023</t>
  </si>
  <si>
    <t>Nov 2023</t>
  </si>
  <si>
    <t>Dec 2023</t>
  </si>
  <si>
    <t>Jan 2024</t>
  </si>
  <si>
    <t>Feb 2024</t>
  </si>
  <si>
    <t>Mar 2024</t>
  </si>
  <si>
    <t>Apr 2024</t>
  </si>
  <si>
    <t>May 2024</t>
  </si>
  <si>
    <t>Jun 2024</t>
  </si>
  <si>
    <t>Jul 2024</t>
  </si>
  <si>
    <t>Aug 2024</t>
  </si>
  <si>
    <t>Sep 2024</t>
  </si>
  <si>
    <t>Total</t>
  </si>
  <si>
    <t>Current</t>
  </si>
  <si>
    <t>Aug 2023 (PP)</t>
  </si>
  <si>
    <t>Sep 2023 (PP)</t>
  </si>
  <si>
    <t>Oct 2023 (PP)</t>
  </si>
  <si>
    <t>Nov 2023 (PP)</t>
  </si>
  <si>
    <t>Dec 2023 (PP)</t>
  </si>
  <si>
    <t>Jan 2024 (PP)</t>
  </si>
  <si>
    <t>Feb 2024 (PP)</t>
  </si>
  <si>
    <t>Mar 2024 (PP)</t>
  </si>
  <si>
    <t>Apr 2024 (PP)</t>
  </si>
  <si>
    <t>May 2024 (PP)</t>
  </si>
  <si>
    <t>Jun 2024 (PP)</t>
  </si>
  <si>
    <t>Jul 2024 (PP)</t>
  </si>
  <si>
    <t>Aug 2024 (PP)</t>
  </si>
  <si>
    <t>Aug 2023 - Aug 2024 (PP)</t>
  </si>
  <si>
    <t>Income</t>
  </si>
  <si>
    <t xml:space="preserve">   4000.00 Rents</t>
  </si>
  <si>
    <t xml:space="preserve">      4010.00 Rental Income</t>
  </si>
  <si>
    <t xml:space="preserve">         4010.10 Equipment Rental Income</t>
  </si>
  <si>
    <t xml:space="preserve">      Total 4010.00 Rental Income</t>
  </si>
  <si>
    <t xml:space="preserve">      4010.05 Discount</t>
  </si>
  <si>
    <t xml:space="preserve">      4020.00 Late Fee</t>
  </si>
  <si>
    <t xml:space="preserve">      4030.00 Administrative Fee</t>
  </si>
  <si>
    <t xml:space="preserve">      4060.00 Fee Income</t>
  </si>
  <si>
    <t xml:space="preserve">   Total 4000.00 Rents</t>
  </si>
  <si>
    <t xml:space="preserve">   4025.00 Returned Check Fee Income</t>
  </si>
  <si>
    <t xml:space="preserve">   4050.00 Truck Rental Income</t>
  </si>
  <si>
    <t xml:space="preserve">   4055.00 Insurance Commission Income</t>
  </si>
  <si>
    <t xml:space="preserve">   4100.00 Merchandise Sales</t>
  </si>
  <si>
    <t xml:space="preserve">      4100.01 Returned Check-Merchandise</t>
  </si>
  <si>
    <t xml:space="preserve">   Total 4100.00 Merchandise Sales</t>
  </si>
  <si>
    <t>Total Income</t>
  </si>
  <si>
    <t>Cost of Goods Sold</t>
  </si>
  <si>
    <t xml:space="preserve">   5000.00 Cost of Goods Sold</t>
  </si>
  <si>
    <t>Total Cost of Goods Sold</t>
  </si>
  <si>
    <t>Gross Profit</t>
  </si>
  <si>
    <t>Expenses</t>
  </si>
  <si>
    <t xml:space="preserve">   6000.00 Advertising and Promotion</t>
  </si>
  <si>
    <t xml:space="preserve">      6000.05 Other</t>
  </si>
  <si>
    <t xml:space="preserve">   Total 6000.00 Advertising and Promotion</t>
  </si>
  <si>
    <t xml:space="preserve">   6031.00 Collection Expense</t>
  </si>
  <si>
    <t xml:space="preserve">   6040.00 Bank Service Charges</t>
  </si>
  <si>
    <t xml:space="preserve">      6040.01 Bank Fees - Returned Checks</t>
  </si>
  <si>
    <t xml:space="preserve">   Total 6040.00 Bank Service Charges</t>
  </si>
  <si>
    <t xml:space="preserve">   6045.00 Bank Merchant Fees</t>
  </si>
  <si>
    <t xml:space="preserve">   6050.00 Computer and Internet Expenses</t>
  </si>
  <si>
    <t xml:space="preserve">   6060.00 Dues and Subscriptions</t>
  </si>
  <si>
    <t xml:space="preserve">   6070.00 Employee Benefits</t>
  </si>
  <si>
    <t xml:space="preserve">      6070.01 Simple IRA/401k</t>
  </si>
  <si>
    <t xml:space="preserve">   Total 6070.00 Employee Benefits</t>
  </si>
  <si>
    <t xml:space="preserve">   6100.00 Insurance Expense</t>
  </si>
  <si>
    <t xml:space="preserve">      6100.01 Workers Comp</t>
  </si>
  <si>
    <t xml:space="preserve">      6100.02 Employee Insurance</t>
  </si>
  <si>
    <t xml:space="preserve">      6100.07 Property &amp; Business</t>
  </si>
  <si>
    <t xml:space="preserve">   Total 6100.00 Insurance Expense</t>
  </si>
  <si>
    <t xml:space="preserve">   6110.00 Interest Expense</t>
  </si>
  <si>
    <t xml:space="preserve">   6170.00 Miscellaneous</t>
  </si>
  <si>
    <t xml:space="preserve">   6200.00 Office Supplies</t>
  </si>
  <si>
    <t xml:space="preserve">   6240.00 Payroll Administrative Fee</t>
  </si>
  <si>
    <t xml:space="preserve">   6250.00 Professional Fees</t>
  </si>
  <si>
    <t xml:space="preserve">   6255.00 Rent Expense</t>
  </si>
  <si>
    <t xml:space="preserve">   6280.00 Repairs and Maintenance</t>
  </si>
  <si>
    <t xml:space="preserve">   6300.00 Salaries</t>
  </si>
  <si>
    <t xml:space="preserve">   6350.00 Supplies</t>
  </si>
  <si>
    <t xml:space="preserve">      6350.01 Building</t>
  </si>
  <si>
    <t xml:space="preserve">      6350.02 Office</t>
  </si>
  <si>
    <t xml:space="preserve">   Total 6350.00 Supplies</t>
  </si>
  <si>
    <t xml:space="preserve">   6401.01 Taxes - Ad Valorem</t>
  </si>
  <si>
    <t xml:space="preserve">   6405.00 Taxes-Payroll</t>
  </si>
  <si>
    <t xml:space="preserve">   6500.00 Utilities</t>
  </si>
  <si>
    <t xml:space="preserve">   6745.00 License and Fees</t>
  </si>
  <si>
    <t>Total Expenses</t>
  </si>
  <si>
    <t>Net Operating Income</t>
  </si>
  <si>
    <t>Other Income</t>
  </si>
  <si>
    <t xml:space="preserve">   8000.00 Vendor Compensation</t>
  </si>
  <si>
    <t>Total Other Income</t>
  </si>
  <si>
    <t>Other Expenses</t>
  </si>
  <si>
    <t xml:space="preserve">   9001.00 Cash Over/Under</t>
  </si>
  <si>
    <t xml:space="preserve">   9005.00 Depreciation &amp; Amortization Exp</t>
  </si>
  <si>
    <t>Total Other Expenses</t>
  </si>
  <si>
    <t>Net Other Income</t>
  </si>
  <si>
    <t>Net Income</t>
  </si>
  <si>
    <t>Friday, Oct 25, 2024 10:02:03 AM GMT-7 - Accrual Basis</t>
  </si>
  <si>
    <t>AAA Private Self Storage, LLC</t>
  </si>
  <si>
    <t>Profit and Loss</t>
  </si>
  <si>
    <t>September 2023 -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</si>
</sst>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&quot;$&quot;* #,##0.00\ _€"/>
  </numFmts>
  <fonts count="6" x14ac:knownFonts="1">
    <font>
      <sz val="11"/>
      <color indexed="8"/>
      <name val="Calibri"/>
      <family val="2"/>
      <scheme val="minor"/>
    </font>
    <font>
      <b/>
      <sz val="9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14"/>
      <color indexed="8"/>
      <name val="Arial"/>
    </font>
    <font>
      <b/>
      <sz val="10"/>
      <color indexed="8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5" fontId="2" fillId="0" borderId="3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7"/>
  <sheetViews>
    <sheetView tabSelected="1" workbookViewId="0">
      <selection sqref="A1:AC1"/>
    </sheetView>
  </sheetViews>
  <sheetFormatPr defaultRowHeight="14.4" x14ac:dyDescent="0.3"/>
  <cols>
    <col min="1" max="1" width="37" customWidth="1"/>
    <col min="2" max="2" width="9.44140625" customWidth="1"/>
    <col min="3" max="3" width="11.21875" customWidth="1"/>
    <col min="4" max="5" width="9.44140625" customWidth="1"/>
    <col min="6" max="6" width="11.21875" customWidth="1"/>
    <col min="7" max="7" width="9.44140625" customWidth="1"/>
    <col min="8" max="8" width="10.33203125" customWidth="1"/>
    <col min="9" max="9" width="11.21875" customWidth="1"/>
    <col min="10" max="11" width="10.33203125" customWidth="1"/>
    <col min="12" max="12" width="9.44140625" customWidth="1"/>
    <col min="13" max="13" width="10.33203125" customWidth="1"/>
    <col min="14" max="19" width="9.44140625" customWidth="1"/>
    <col min="20" max="20" width="10.33203125" customWidth="1"/>
    <col min="21" max="22" width="9.44140625" customWidth="1"/>
    <col min="23" max="23" width="10.33203125" customWidth="1"/>
    <col min="24" max="27" width="9.44140625" customWidth="1"/>
    <col min="28" max="29" width="12" customWidth="1"/>
  </cols>
  <sheetData>
    <row r="1" spans="1:29" ht="17.399999999999999" x14ac:dyDescent="0.3">
      <c r="A1" s="12" t="s">
        <v>97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</row>
    <row r="2" spans="1:29" ht="17.399999999999999" x14ac:dyDescent="0.3">
      <c r="A2" s="12" t="s">
        <v>98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29" x14ac:dyDescent="0.3">
      <c r="A3" s="13" t="s">
        <v>99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5" spans="1:29" x14ac:dyDescent="0.3">
      <c r="A5" s="1"/>
      <c r="B5" s="8" t="s">
        <v>0</v>
      </c>
      <c r="C5" s="9"/>
      <c r="D5" s="8" t="s">
        <v>1</v>
      </c>
      <c r="E5" s="9"/>
      <c r="F5" s="8" t="s">
        <v>2</v>
      </c>
      <c r="G5" s="9"/>
      <c r="H5" s="8" t="s">
        <v>3</v>
      </c>
      <c r="I5" s="9"/>
      <c r="J5" s="8" t="s">
        <v>4</v>
      </c>
      <c r="K5" s="9"/>
      <c r="L5" s="8" t="s">
        <v>5</v>
      </c>
      <c r="M5" s="9"/>
      <c r="N5" s="8" t="s">
        <v>6</v>
      </c>
      <c r="O5" s="9"/>
      <c r="P5" s="8" t="s">
        <v>7</v>
      </c>
      <c r="Q5" s="9"/>
      <c r="R5" s="8" t="s">
        <v>8</v>
      </c>
      <c r="S5" s="9"/>
      <c r="T5" s="8" t="s">
        <v>9</v>
      </c>
      <c r="U5" s="9"/>
      <c r="V5" s="8" t="s">
        <v>10</v>
      </c>
      <c r="W5" s="9"/>
      <c r="X5" s="8" t="s">
        <v>11</v>
      </c>
      <c r="Y5" s="9"/>
      <c r="Z5" s="8" t="s">
        <v>12</v>
      </c>
      <c r="AA5" s="9"/>
      <c r="AB5" s="8" t="s">
        <v>13</v>
      </c>
      <c r="AC5" s="9"/>
    </row>
    <row r="6" spans="1:29" ht="24.6" x14ac:dyDescent="0.3">
      <c r="A6" s="1"/>
      <c r="B6" s="2" t="s">
        <v>14</v>
      </c>
      <c r="C6" s="2" t="s">
        <v>15</v>
      </c>
      <c r="D6" s="2" t="s">
        <v>14</v>
      </c>
      <c r="E6" s="2" t="s">
        <v>16</v>
      </c>
      <c r="F6" s="2" t="s">
        <v>14</v>
      </c>
      <c r="G6" s="2" t="s">
        <v>17</v>
      </c>
      <c r="H6" s="2" t="s">
        <v>14</v>
      </c>
      <c r="I6" s="2" t="s">
        <v>18</v>
      </c>
      <c r="J6" s="2" t="s">
        <v>14</v>
      </c>
      <c r="K6" s="2" t="s">
        <v>19</v>
      </c>
      <c r="L6" s="2" t="s">
        <v>14</v>
      </c>
      <c r="M6" s="2" t="s">
        <v>20</v>
      </c>
      <c r="N6" s="2" t="s">
        <v>14</v>
      </c>
      <c r="O6" s="2" t="s">
        <v>21</v>
      </c>
      <c r="P6" s="2" t="s">
        <v>14</v>
      </c>
      <c r="Q6" s="2" t="s">
        <v>22</v>
      </c>
      <c r="R6" s="2" t="s">
        <v>14</v>
      </c>
      <c r="S6" s="2" t="s">
        <v>23</v>
      </c>
      <c r="T6" s="2" t="s">
        <v>14</v>
      </c>
      <c r="U6" s="2" t="s">
        <v>24</v>
      </c>
      <c r="V6" s="2" t="s">
        <v>14</v>
      </c>
      <c r="W6" s="2" t="s">
        <v>25</v>
      </c>
      <c r="X6" s="2" t="s">
        <v>14</v>
      </c>
      <c r="Y6" s="2" t="s">
        <v>26</v>
      </c>
      <c r="Z6" s="2" t="s">
        <v>14</v>
      </c>
      <c r="AA6" s="2" t="s">
        <v>27</v>
      </c>
      <c r="AB6" s="2" t="s">
        <v>14</v>
      </c>
      <c r="AC6" s="2" t="s">
        <v>28</v>
      </c>
    </row>
    <row r="7" spans="1:29" x14ac:dyDescent="0.3">
      <c r="A7" s="3" t="s">
        <v>29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29" x14ac:dyDescent="0.3">
      <c r="A8" s="3" t="s">
        <v>30</v>
      </c>
      <c r="B8" s="4"/>
      <c r="C8" s="4"/>
      <c r="D8" s="4"/>
      <c r="E8" s="4"/>
      <c r="F8" s="4"/>
      <c r="G8" s="4"/>
      <c r="H8" s="4"/>
      <c r="I8" s="4"/>
      <c r="J8" s="4"/>
      <c r="K8" s="4"/>
      <c r="L8" s="5">
        <f>-69</f>
        <v>-69</v>
      </c>
      <c r="M8" s="4"/>
      <c r="N8" s="5">
        <f>-219</f>
        <v>-219</v>
      </c>
      <c r="O8" s="5">
        <f>-69</f>
        <v>-69</v>
      </c>
      <c r="P8" s="4"/>
      <c r="Q8" s="5">
        <f>-219</f>
        <v>-219</v>
      </c>
      <c r="R8" s="4"/>
      <c r="S8" s="4"/>
      <c r="T8" s="4"/>
      <c r="U8" s="4"/>
      <c r="V8" s="5">
        <f>87</f>
        <v>87</v>
      </c>
      <c r="W8" s="4"/>
      <c r="X8" s="4"/>
      <c r="Y8" s="5">
        <f>87</f>
        <v>87</v>
      </c>
      <c r="Z8" s="4"/>
      <c r="AA8" s="4"/>
      <c r="AB8" s="5">
        <f t="shared" ref="AB8:AB23" si="0">((((((((((((B8)+(D8))+(F8))+(H8))+(J8))+(L8))+(N8))+(P8))+(R8))+(T8))+(V8))+(X8))+(Z8)</f>
        <v>-201</v>
      </c>
      <c r="AC8" s="5">
        <f t="shared" ref="AC8:AC23" si="1">((((((((((((C8)+(E8))+(G8))+(I8))+(K8))+(M8))+(O8))+(Q8))+(S8))+(U8))+(W8))+(Y8))+(AA8)</f>
        <v>-201</v>
      </c>
    </row>
    <row r="9" spans="1:29" x14ac:dyDescent="0.3">
      <c r="A9" s="3" t="s">
        <v>31</v>
      </c>
      <c r="B9" s="5">
        <f>102149.32</f>
        <v>102149.32</v>
      </c>
      <c r="C9" s="5">
        <f>104658.19</f>
        <v>104658.19</v>
      </c>
      <c r="D9" s="5">
        <f>101151.12</f>
        <v>101151.12</v>
      </c>
      <c r="E9" s="5">
        <f>102149.32</f>
        <v>102149.32</v>
      </c>
      <c r="F9" s="5">
        <f>99947.36</f>
        <v>99947.36</v>
      </c>
      <c r="G9" s="5">
        <f>101151.12</f>
        <v>101151.12</v>
      </c>
      <c r="H9" s="5">
        <f>97098.2</f>
        <v>97098.2</v>
      </c>
      <c r="I9" s="5">
        <f>99947.36</f>
        <v>99947.36</v>
      </c>
      <c r="J9" s="5">
        <f>101543.6</f>
        <v>101543.6</v>
      </c>
      <c r="K9" s="5">
        <f>97098.2</f>
        <v>97098.2</v>
      </c>
      <c r="L9" s="5">
        <f>102422.65</f>
        <v>102422.65</v>
      </c>
      <c r="M9" s="5">
        <f>101543.6</f>
        <v>101543.6</v>
      </c>
      <c r="N9" s="5">
        <f>100241.61</f>
        <v>100241.61</v>
      </c>
      <c r="O9" s="5">
        <f>102422.65</f>
        <v>102422.65</v>
      </c>
      <c r="P9" s="5">
        <f>95259.36</f>
        <v>95259.36</v>
      </c>
      <c r="Q9" s="5">
        <f>100241.61</f>
        <v>100241.61</v>
      </c>
      <c r="R9" s="5">
        <f>103600.56</f>
        <v>103600.56</v>
      </c>
      <c r="S9" s="5">
        <f>95259.36</f>
        <v>95259.36</v>
      </c>
      <c r="T9" s="5">
        <f>103405.15</f>
        <v>103405.15</v>
      </c>
      <c r="U9" s="5">
        <f>103600.56</f>
        <v>103600.56</v>
      </c>
      <c r="V9" s="5">
        <f>102408.87</f>
        <v>102408.87</v>
      </c>
      <c r="W9" s="5">
        <f>103405.15</f>
        <v>103405.15</v>
      </c>
      <c r="X9" s="5">
        <f>103260.1</f>
        <v>103260.1</v>
      </c>
      <c r="Y9" s="5">
        <f>102408.87</f>
        <v>102408.87</v>
      </c>
      <c r="Z9" s="5">
        <f>101426.1</f>
        <v>101426.1</v>
      </c>
      <c r="AA9" s="5">
        <f>103260.1</f>
        <v>103260.1</v>
      </c>
      <c r="AB9" s="5">
        <f t="shared" si="0"/>
        <v>1313914.0000000002</v>
      </c>
      <c r="AC9" s="5">
        <f t="shared" si="1"/>
        <v>1317146.0899999999</v>
      </c>
    </row>
    <row r="10" spans="1:29" x14ac:dyDescent="0.3">
      <c r="A10" s="3" t="s">
        <v>32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5">
        <f>1242.06</f>
        <v>1242.06</v>
      </c>
      <c r="M10" s="4"/>
      <c r="N10" s="5">
        <f>1059.7</f>
        <v>1059.7</v>
      </c>
      <c r="O10" s="5">
        <f>1242.06</f>
        <v>1242.06</v>
      </c>
      <c r="P10" s="5">
        <f>1486.37</f>
        <v>1486.37</v>
      </c>
      <c r="Q10" s="5">
        <f>1059.7</f>
        <v>1059.7</v>
      </c>
      <c r="R10" s="5">
        <f>1597.22</f>
        <v>1597.22</v>
      </c>
      <c r="S10" s="5">
        <f>1486.37</f>
        <v>1486.37</v>
      </c>
      <c r="T10" s="5">
        <f>2064.52</f>
        <v>2064.52</v>
      </c>
      <c r="U10" s="5">
        <f>1597.22</f>
        <v>1597.22</v>
      </c>
      <c r="V10" s="4"/>
      <c r="W10" s="5">
        <f>2064.52</f>
        <v>2064.52</v>
      </c>
      <c r="X10" s="5">
        <f>1596.61</f>
        <v>1596.61</v>
      </c>
      <c r="Y10" s="4"/>
      <c r="Z10" s="4"/>
      <c r="AA10" s="5">
        <f>1596.61</f>
        <v>1596.61</v>
      </c>
      <c r="AB10" s="5">
        <f t="shared" si="0"/>
        <v>9046.4800000000014</v>
      </c>
      <c r="AC10" s="5">
        <f t="shared" si="1"/>
        <v>9046.4800000000014</v>
      </c>
    </row>
    <row r="11" spans="1:29" x14ac:dyDescent="0.3">
      <c r="A11" s="3" t="s">
        <v>33</v>
      </c>
      <c r="B11" s="6">
        <f t="shared" ref="B11:AA11" si="2">(B9)+(B10)</f>
        <v>102149.32</v>
      </c>
      <c r="C11" s="6">
        <f t="shared" si="2"/>
        <v>104658.19</v>
      </c>
      <c r="D11" s="6">
        <f t="shared" si="2"/>
        <v>101151.12</v>
      </c>
      <c r="E11" s="6">
        <f t="shared" si="2"/>
        <v>102149.32</v>
      </c>
      <c r="F11" s="6">
        <f t="shared" si="2"/>
        <v>99947.36</v>
      </c>
      <c r="G11" s="6">
        <f t="shared" si="2"/>
        <v>101151.12</v>
      </c>
      <c r="H11" s="6">
        <f t="shared" si="2"/>
        <v>97098.2</v>
      </c>
      <c r="I11" s="6">
        <f t="shared" si="2"/>
        <v>99947.36</v>
      </c>
      <c r="J11" s="6">
        <f t="shared" si="2"/>
        <v>101543.6</v>
      </c>
      <c r="K11" s="6">
        <f t="shared" si="2"/>
        <v>97098.2</v>
      </c>
      <c r="L11" s="6">
        <f t="shared" si="2"/>
        <v>103664.70999999999</v>
      </c>
      <c r="M11" s="6">
        <f t="shared" si="2"/>
        <v>101543.6</v>
      </c>
      <c r="N11" s="6">
        <f t="shared" si="2"/>
        <v>101301.31</v>
      </c>
      <c r="O11" s="6">
        <f t="shared" si="2"/>
        <v>103664.70999999999</v>
      </c>
      <c r="P11" s="6">
        <f t="shared" si="2"/>
        <v>96745.73</v>
      </c>
      <c r="Q11" s="6">
        <f t="shared" si="2"/>
        <v>101301.31</v>
      </c>
      <c r="R11" s="6">
        <f t="shared" si="2"/>
        <v>105197.78</v>
      </c>
      <c r="S11" s="6">
        <f t="shared" si="2"/>
        <v>96745.73</v>
      </c>
      <c r="T11" s="6">
        <f t="shared" si="2"/>
        <v>105469.67</v>
      </c>
      <c r="U11" s="6">
        <f t="shared" si="2"/>
        <v>105197.78</v>
      </c>
      <c r="V11" s="6">
        <f t="shared" si="2"/>
        <v>102408.87</v>
      </c>
      <c r="W11" s="6">
        <f t="shared" si="2"/>
        <v>105469.67</v>
      </c>
      <c r="X11" s="6">
        <f t="shared" si="2"/>
        <v>104856.71</v>
      </c>
      <c r="Y11" s="6">
        <f t="shared" si="2"/>
        <v>102408.87</v>
      </c>
      <c r="Z11" s="6">
        <f t="shared" si="2"/>
        <v>101426.1</v>
      </c>
      <c r="AA11" s="6">
        <f t="shared" si="2"/>
        <v>104856.71</v>
      </c>
      <c r="AB11" s="6">
        <f t="shared" si="0"/>
        <v>1322960.48</v>
      </c>
      <c r="AC11" s="6">
        <f t="shared" si="1"/>
        <v>1326192.5699999998</v>
      </c>
    </row>
    <row r="12" spans="1:29" x14ac:dyDescent="0.3">
      <c r="A12" s="3" t="s">
        <v>34</v>
      </c>
      <c r="B12" s="5">
        <f>-13111.5</f>
        <v>-13111.5</v>
      </c>
      <c r="C12" s="5">
        <f>-13129.5</f>
        <v>-13129.5</v>
      </c>
      <c r="D12" s="5">
        <f>-12449.5</f>
        <v>-12449.5</v>
      </c>
      <c r="E12" s="5">
        <f>-13111.5</f>
        <v>-13111.5</v>
      </c>
      <c r="F12" s="5">
        <f>-12014.5</f>
        <v>-12014.5</v>
      </c>
      <c r="G12" s="5">
        <f>-12449.5</f>
        <v>-12449.5</v>
      </c>
      <c r="H12" s="5">
        <f>-12130.5</f>
        <v>-12130.5</v>
      </c>
      <c r="I12" s="5">
        <f>-12014.5</f>
        <v>-12014.5</v>
      </c>
      <c r="J12" s="5">
        <f>-12183</f>
        <v>-12183</v>
      </c>
      <c r="K12" s="5">
        <f>-12130.5</f>
        <v>-12130.5</v>
      </c>
      <c r="L12" s="5">
        <f>-12407</f>
        <v>-12407</v>
      </c>
      <c r="M12" s="5">
        <f>-12183</f>
        <v>-12183</v>
      </c>
      <c r="N12" s="5">
        <f>-11901.5</f>
        <v>-11901.5</v>
      </c>
      <c r="O12" s="5">
        <f>-12407</f>
        <v>-12407</v>
      </c>
      <c r="P12" s="5">
        <f>-9309.5</f>
        <v>-9309.5</v>
      </c>
      <c r="Q12" s="5">
        <f>-11901.5</f>
        <v>-11901.5</v>
      </c>
      <c r="R12" s="5">
        <f>-11586.5</f>
        <v>-11586.5</v>
      </c>
      <c r="S12" s="5">
        <f>-9309.5</f>
        <v>-9309.5</v>
      </c>
      <c r="T12" s="5">
        <f>-11547.5</f>
        <v>-11547.5</v>
      </c>
      <c r="U12" s="5">
        <f>-11586.5</f>
        <v>-11586.5</v>
      </c>
      <c r="V12" s="5">
        <f>-11273.5</f>
        <v>-11273.5</v>
      </c>
      <c r="W12" s="5">
        <f>-11547.5</f>
        <v>-11547.5</v>
      </c>
      <c r="X12" s="5">
        <f>-13410.5</f>
        <v>-13410.5</v>
      </c>
      <c r="Y12" s="5">
        <f>-11273.5</f>
        <v>-11273.5</v>
      </c>
      <c r="Z12" s="5">
        <f>-14442.5</f>
        <v>-14442.5</v>
      </c>
      <c r="AA12" s="5">
        <f>-13410.5</f>
        <v>-13410.5</v>
      </c>
      <c r="AB12" s="5">
        <f t="shared" si="0"/>
        <v>-157767.5</v>
      </c>
      <c r="AC12" s="5">
        <f t="shared" si="1"/>
        <v>-156454.5</v>
      </c>
    </row>
    <row r="13" spans="1:29" x14ac:dyDescent="0.3">
      <c r="A13" s="3" t="s">
        <v>35</v>
      </c>
      <c r="B13" s="5">
        <f>1020</f>
        <v>1020</v>
      </c>
      <c r="C13" s="5">
        <f>975</f>
        <v>975</v>
      </c>
      <c r="D13" s="5">
        <f>1000</f>
        <v>1000</v>
      </c>
      <c r="E13" s="5">
        <f>1020</f>
        <v>1020</v>
      </c>
      <c r="F13" s="5">
        <f>1200</f>
        <v>1200</v>
      </c>
      <c r="G13" s="5">
        <f>1000</f>
        <v>1000</v>
      </c>
      <c r="H13" s="5">
        <f>1350</f>
        <v>1350</v>
      </c>
      <c r="I13" s="5">
        <f>1200</f>
        <v>1200</v>
      </c>
      <c r="J13" s="5">
        <f>1260</f>
        <v>1260</v>
      </c>
      <c r="K13" s="5">
        <f>1350</f>
        <v>1350</v>
      </c>
      <c r="L13" s="5">
        <f>930</f>
        <v>930</v>
      </c>
      <c r="M13" s="5">
        <f>1260</f>
        <v>1260</v>
      </c>
      <c r="N13" s="5">
        <f>899</f>
        <v>899</v>
      </c>
      <c r="O13" s="5">
        <f>930</f>
        <v>930</v>
      </c>
      <c r="P13" s="5">
        <f>1080</f>
        <v>1080</v>
      </c>
      <c r="Q13" s="5">
        <f>899</f>
        <v>899</v>
      </c>
      <c r="R13" s="5">
        <f>1005</f>
        <v>1005</v>
      </c>
      <c r="S13" s="5">
        <f>1080</f>
        <v>1080</v>
      </c>
      <c r="T13" s="5">
        <f>910</f>
        <v>910</v>
      </c>
      <c r="U13" s="5">
        <f>1005</f>
        <v>1005</v>
      </c>
      <c r="V13" s="5">
        <f>990</f>
        <v>990</v>
      </c>
      <c r="W13" s="5">
        <f>910</f>
        <v>910</v>
      </c>
      <c r="X13" s="5">
        <f>920</f>
        <v>920</v>
      </c>
      <c r="Y13" s="5">
        <f>990</f>
        <v>990</v>
      </c>
      <c r="Z13" s="5">
        <f>1080</f>
        <v>1080</v>
      </c>
      <c r="AA13" s="5">
        <f>920</f>
        <v>920</v>
      </c>
      <c r="AB13" s="5">
        <f t="shared" si="0"/>
        <v>13644</v>
      </c>
      <c r="AC13" s="5">
        <f t="shared" si="1"/>
        <v>13539</v>
      </c>
    </row>
    <row r="14" spans="1:29" x14ac:dyDescent="0.3">
      <c r="A14" s="3" t="s">
        <v>36</v>
      </c>
      <c r="B14" s="5">
        <f>380</f>
        <v>380</v>
      </c>
      <c r="C14" s="5">
        <f>490</f>
        <v>490</v>
      </c>
      <c r="D14" s="5">
        <f>420</f>
        <v>420</v>
      </c>
      <c r="E14" s="5">
        <f>380</f>
        <v>380</v>
      </c>
      <c r="F14" s="5">
        <f>200</f>
        <v>200</v>
      </c>
      <c r="G14" s="5">
        <f>420</f>
        <v>420</v>
      </c>
      <c r="H14" s="5">
        <f>615</f>
        <v>615</v>
      </c>
      <c r="I14" s="5">
        <f>200</f>
        <v>200</v>
      </c>
      <c r="J14" s="5">
        <f>224</f>
        <v>224</v>
      </c>
      <c r="K14" s="5">
        <f>615</f>
        <v>615</v>
      </c>
      <c r="L14" s="5">
        <f>326.95</f>
        <v>326.95</v>
      </c>
      <c r="M14" s="5">
        <f>224</f>
        <v>224</v>
      </c>
      <c r="N14" s="5">
        <f>235.21</f>
        <v>235.21</v>
      </c>
      <c r="O14" s="5">
        <f>326.95</f>
        <v>326.95</v>
      </c>
      <c r="P14" s="5">
        <f>430</f>
        <v>430</v>
      </c>
      <c r="Q14" s="5">
        <f>235.21</f>
        <v>235.21</v>
      </c>
      <c r="R14" s="5">
        <f>700</f>
        <v>700</v>
      </c>
      <c r="S14" s="5">
        <f>430</f>
        <v>430</v>
      </c>
      <c r="T14" s="5">
        <f>415</f>
        <v>415</v>
      </c>
      <c r="U14" s="5">
        <f>700</f>
        <v>700</v>
      </c>
      <c r="V14" s="5">
        <f>610</f>
        <v>610</v>
      </c>
      <c r="W14" s="5">
        <f>415</f>
        <v>415</v>
      </c>
      <c r="X14" s="5">
        <f>440</f>
        <v>440</v>
      </c>
      <c r="Y14" s="5">
        <f>610</f>
        <v>610</v>
      </c>
      <c r="Z14" s="5">
        <f>300</f>
        <v>300</v>
      </c>
      <c r="AA14" s="5">
        <f>440</f>
        <v>440</v>
      </c>
      <c r="AB14" s="5">
        <f t="shared" si="0"/>
        <v>5296.16</v>
      </c>
      <c r="AC14" s="5">
        <f t="shared" si="1"/>
        <v>5486.16</v>
      </c>
    </row>
    <row r="15" spans="1:29" x14ac:dyDescent="0.3">
      <c r="A15" s="3" t="s">
        <v>37</v>
      </c>
      <c r="B15" s="5">
        <f>635</f>
        <v>635</v>
      </c>
      <c r="C15" s="5">
        <f>314.78</f>
        <v>314.77999999999997</v>
      </c>
      <c r="D15" s="5">
        <f>120</f>
        <v>120</v>
      </c>
      <c r="E15" s="5">
        <f>635</f>
        <v>635</v>
      </c>
      <c r="F15" s="5">
        <f>20</f>
        <v>20</v>
      </c>
      <c r="G15" s="5">
        <f>120</f>
        <v>120</v>
      </c>
      <c r="H15" s="5">
        <f>60</f>
        <v>60</v>
      </c>
      <c r="I15" s="5">
        <f>20</f>
        <v>20</v>
      </c>
      <c r="J15" s="5">
        <f>970</f>
        <v>970</v>
      </c>
      <c r="K15" s="5">
        <f>60</f>
        <v>60</v>
      </c>
      <c r="L15" s="5">
        <f>660</f>
        <v>660</v>
      </c>
      <c r="M15" s="5">
        <f>970</f>
        <v>970</v>
      </c>
      <c r="N15" s="5">
        <f>289</f>
        <v>289</v>
      </c>
      <c r="O15" s="5">
        <f>660</f>
        <v>660</v>
      </c>
      <c r="P15" s="5">
        <f>80</f>
        <v>80</v>
      </c>
      <c r="Q15" s="5">
        <f>289</f>
        <v>289</v>
      </c>
      <c r="R15" s="5">
        <f>680</f>
        <v>680</v>
      </c>
      <c r="S15" s="5">
        <f>80</f>
        <v>80</v>
      </c>
      <c r="T15" s="5">
        <f>170</f>
        <v>170</v>
      </c>
      <c r="U15" s="5">
        <f>680</f>
        <v>680</v>
      </c>
      <c r="V15" s="5">
        <f>674.34</f>
        <v>674.34</v>
      </c>
      <c r="W15" s="5">
        <f>170</f>
        <v>170</v>
      </c>
      <c r="X15" s="5"/>
      <c r="Y15" s="5">
        <f>674.34</f>
        <v>674.34</v>
      </c>
      <c r="Z15" s="5">
        <f>40</f>
        <v>40</v>
      </c>
      <c r="AA15" s="5"/>
      <c r="AB15" s="5">
        <f t="shared" si="0"/>
        <v>4398.34</v>
      </c>
      <c r="AC15" s="5">
        <f t="shared" si="1"/>
        <v>4673.12</v>
      </c>
    </row>
    <row r="16" spans="1:29" x14ac:dyDescent="0.3">
      <c r="A16" s="3" t="s">
        <v>38</v>
      </c>
      <c r="B16" s="6">
        <f t="shared" ref="B16:AA16" si="3">(((((B8)+(B11))+(B12))+(B13))+(B14))+(B15)</f>
        <v>91072.82</v>
      </c>
      <c r="C16" s="6">
        <f t="shared" si="3"/>
        <v>93308.47</v>
      </c>
      <c r="D16" s="6">
        <f t="shared" si="3"/>
        <v>90241.62</v>
      </c>
      <c r="E16" s="6">
        <f t="shared" si="3"/>
        <v>91072.82</v>
      </c>
      <c r="F16" s="6">
        <f t="shared" si="3"/>
        <v>89352.86</v>
      </c>
      <c r="G16" s="6">
        <f t="shared" si="3"/>
        <v>90241.62</v>
      </c>
      <c r="H16" s="6">
        <f t="shared" si="3"/>
        <v>86992.7</v>
      </c>
      <c r="I16" s="6">
        <f t="shared" si="3"/>
        <v>89352.86</v>
      </c>
      <c r="J16" s="6">
        <f t="shared" si="3"/>
        <v>91814.6</v>
      </c>
      <c r="K16" s="6">
        <f t="shared" si="3"/>
        <v>86992.7</v>
      </c>
      <c r="L16" s="6">
        <f t="shared" si="3"/>
        <v>93105.659999999989</v>
      </c>
      <c r="M16" s="6">
        <f t="shared" si="3"/>
        <v>91814.6</v>
      </c>
      <c r="N16" s="6">
        <f t="shared" si="3"/>
        <v>90604.02</v>
      </c>
      <c r="O16" s="6">
        <f t="shared" si="3"/>
        <v>93105.659999999989</v>
      </c>
      <c r="P16" s="6">
        <f t="shared" si="3"/>
        <v>89026.23</v>
      </c>
      <c r="Q16" s="6">
        <f t="shared" si="3"/>
        <v>90604.02</v>
      </c>
      <c r="R16" s="6">
        <f t="shared" si="3"/>
        <v>95996.28</v>
      </c>
      <c r="S16" s="6">
        <f t="shared" si="3"/>
        <v>89026.23</v>
      </c>
      <c r="T16" s="6">
        <f t="shared" si="3"/>
        <v>95417.17</v>
      </c>
      <c r="U16" s="6">
        <f t="shared" si="3"/>
        <v>95996.28</v>
      </c>
      <c r="V16" s="6">
        <f t="shared" si="3"/>
        <v>93496.709999999992</v>
      </c>
      <c r="W16" s="6">
        <f t="shared" si="3"/>
        <v>95417.17</v>
      </c>
      <c r="X16" s="6">
        <f t="shared" si="3"/>
        <v>92806.21</v>
      </c>
      <c r="Y16" s="6">
        <f t="shared" si="3"/>
        <v>93496.709999999992</v>
      </c>
      <c r="Z16" s="6">
        <f t="shared" si="3"/>
        <v>88403.6</v>
      </c>
      <c r="AA16" s="6">
        <f t="shared" si="3"/>
        <v>92806.21</v>
      </c>
      <c r="AB16" s="6">
        <f t="shared" si="0"/>
        <v>1188330.4800000002</v>
      </c>
      <c r="AC16" s="6">
        <f t="shared" si="1"/>
        <v>1193235.3500000001</v>
      </c>
    </row>
    <row r="17" spans="1:29" x14ac:dyDescent="0.3">
      <c r="A17" s="3" t="s">
        <v>39</v>
      </c>
      <c r="B17" s="5">
        <f>0</f>
        <v>0</v>
      </c>
      <c r="C17" s="5">
        <f>0</f>
        <v>0</v>
      </c>
      <c r="D17" s="5">
        <f>0</f>
        <v>0</v>
      </c>
      <c r="E17" s="5">
        <f>0</f>
        <v>0</v>
      </c>
      <c r="F17" s="5">
        <f>0</f>
        <v>0</v>
      </c>
      <c r="G17" s="5">
        <f>0</f>
        <v>0</v>
      </c>
      <c r="H17" s="5">
        <f>0</f>
        <v>0</v>
      </c>
      <c r="I17" s="5">
        <f>0</f>
        <v>0</v>
      </c>
      <c r="J17" s="5">
        <f>0</f>
        <v>0</v>
      </c>
      <c r="K17" s="5">
        <f>0</f>
        <v>0</v>
      </c>
      <c r="L17" s="5">
        <f>0</f>
        <v>0</v>
      </c>
      <c r="M17" s="5">
        <f>0</f>
        <v>0</v>
      </c>
      <c r="N17" s="5">
        <f>0</f>
        <v>0</v>
      </c>
      <c r="O17" s="5">
        <f>0</f>
        <v>0</v>
      </c>
      <c r="P17" s="5">
        <f>0</f>
        <v>0</v>
      </c>
      <c r="Q17" s="5">
        <f>0</f>
        <v>0</v>
      </c>
      <c r="R17" s="5">
        <f>0</f>
        <v>0</v>
      </c>
      <c r="S17" s="5">
        <f>0</f>
        <v>0</v>
      </c>
      <c r="T17" s="5">
        <f>4700</f>
        <v>4700</v>
      </c>
      <c r="U17" s="5">
        <f>0</f>
        <v>0</v>
      </c>
      <c r="V17" s="5">
        <f>0</f>
        <v>0</v>
      </c>
      <c r="W17" s="5">
        <f>4700</f>
        <v>4700</v>
      </c>
      <c r="X17" s="5">
        <f>0</f>
        <v>0</v>
      </c>
      <c r="Y17" s="5">
        <f>0</f>
        <v>0</v>
      </c>
      <c r="Z17" s="5">
        <f>0</f>
        <v>0</v>
      </c>
      <c r="AA17" s="5">
        <f>0</f>
        <v>0</v>
      </c>
      <c r="AB17" s="5">
        <f t="shared" si="0"/>
        <v>4700</v>
      </c>
      <c r="AC17" s="5">
        <f t="shared" si="1"/>
        <v>4700</v>
      </c>
    </row>
    <row r="18" spans="1:29" x14ac:dyDescent="0.3">
      <c r="A18" s="3" t="s">
        <v>40</v>
      </c>
      <c r="B18" s="5">
        <f>1994.02</f>
        <v>1994.02</v>
      </c>
      <c r="C18" s="5">
        <f>1899.94</f>
        <v>1899.94</v>
      </c>
      <c r="D18" s="5">
        <f>1702.26</f>
        <v>1702.26</v>
      </c>
      <c r="E18" s="5">
        <f>1994.02</f>
        <v>1994.02</v>
      </c>
      <c r="F18" s="5">
        <f>1669.15</f>
        <v>1669.15</v>
      </c>
      <c r="G18" s="5">
        <f>1702.26</f>
        <v>1702.26</v>
      </c>
      <c r="H18" s="5">
        <f>1344.92</f>
        <v>1344.92</v>
      </c>
      <c r="I18" s="5">
        <f>1669.15</f>
        <v>1669.15</v>
      </c>
      <c r="J18" s="5">
        <f>1452.99</f>
        <v>1452.99</v>
      </c>
      <c r="K18" s="5">
        <f>1344.92</f>
        <v>1344.92</v>
      </c>
      <c r="L18" s="4"/>
      <c r="M18" s="5">
        <f>1452.99</f>
        <v>1452.99</v>
      </c>
      <c r="N18" s="4"/>
      <c r="O18" s="4"/>
      <c r="P18" s="4"/>
      <c r="Q18" s="4"/>
      <c r="R18" s="4"/>
      <c r="S18" s="4"/>
      <c r="T18" s="5">
        <f>-106.36</f>
        <v>-106.36</v>
      </c>
      <c r="U18" s="4"/>
      <c r="V18" s="5">
        <f>2029.99</f>
        <v>2029.99</v>
      </c>
      <c r="W18" s="5">
        <f>-106.36</f>
        <v>-106.36</v>
      </c>
      <c r="X18" s="4"/>
      <c r="Y18" s="5">
        <f>2029.99</f>
        <v>2029.99</v>
      </c>
      <c r="Z18" s="5">
        <f>2428.66</f>
        <v>2428.66</v>
      </c>
      <c r="AA18" s="4"/>
      <c r="AB18" s="5">
        <f t="shared" si="0"/>
        <v>12515.630000000001</v>
      </c>
      <c r="AC18" s="5">
        <f t="shared" si="1"/>
        <v>11986.91</v>
      </c>
    </row>
    <row r="19" spans="1:29" x14ac:dyDescent="0.3">
      <c r="A19" s="3" t="s">
        <v>41</v>
      </c>
      <c r="B19" s="5">
        <f>1833.3</f>
        <v>1833.3</v>
      </c>
      <c r="C19" s="5">
        <f>1794.22</f>
        <v>1794.22</v>
      </c>
      <c r="D19" s="5">
        <f>1778.68</f>
        <v>1778.68</v>
      </c>
      <c r="E19" s="5">
        <f>1833.3</f>
        <v>1833.3</v>
      </c>
      <c r="F19" s="5">
        <f>1714.81</f>
        <v>1714.81</v>
      </c>
      <c r="G19" s="5">
        <f>1778.68</f>
        <v>1778.68</v>
      </c>
      <c r="H19" s="5">
        <f>1732.15</f>
        <v>1732.15</v>
      </c>
      <c r="I19" s="5">
        <f>1714.81</f>
        <v>1714.81</v>
      </c>
      <c r="J19" s="5">
        <f>1736.39</f>
        <v>1736.39</v>
      </c>
      <c r="K19" s="5">
        <f>1732.15</f>
        <v>1732.15</v>
      </c>
      <c r="L19" s="5">
        <f>1764.13</f>
        <v>1764.13</v>
      </c>
      <c r="M19" s="5">
        <f>1736.39</f>
        <v>1736.39</v>
      </c>
      <c r="N19" s="5">
        <f>1856.48</f>
        <v>1856.48</v>
      </c>
      <c r="O19" s="5">
        <f>1764.13</f>
        <v>1764.13</v>
      </c>
      <c r="P19" s="5">
        <f>1763.47</f>
        <v>1763.47</v>
      </c>
      <c r="Q19" s="5">
        <f>1856.48</f>
        <v>1856.48</v>
      </c>
      <c r="R19" s="5">
        <f>1835.81</f>
        <v>1835.81</v>
      </c>
      <c r="S19" s="5">
        <f>1763.47</f>
        <v>1763.47</v>
      </c>
      <c r="T19" s="5">
        <f>1910.94</f>
        <v>1910.94</v>
      </c>
      <c r="U19" s="5">
        <f>1835.81</f>
        <v>1835.81</v>
      </c>
      <c r="V19" s="5">
        <f>1881.4</f>
        <v>1881.4</v>
      </c>
      <c r="W19" s="5">
        <f>1910.94</f>
        <v>1910.94</v>
      </c>
      <c r="X19" s="5">
        <f>1940.9</f>
        <v>1940.9</v>
      </c>
      <c r="Y19" s="5">
        <f>1881.4</f>
        <v>1881.4</v>
      </c>
      <c r="Z19" s="4"/>
      <c r="AA19" s="5">
        <f>1940.9</f>
        <v>1940.9</v>
      </c>
      <c r="AB19" s="5">
        <f t="shared" si="0"/>
        <v>21748.46</v>
      </c>
      <c r="AC19" s="5">
        <f t="shared" si="1"/>
        <v>23542.68</v>
      </c>
    </row>
    <row r="20" spans="1:29" x14ac:dyDescent="0.3">
      <c r="A20" s="3" t="s">
        <v>42</v>
      </c>
      <c r="B20" s="5">
        <f>401.49</f>
        <v>401.49</v>
      </c>
      <c r="C20" s="5">
        <f>358.55</f>
        <v>358.55</v>
      </c>
      <c r="D20" s="5">
        <f>500</f>
        <v>500</v>
      </c>
      <c r="E20" s="5">
        <f>401.49</f>
        <v>401.49</v>
      </c>
      <c r="F20" s="5">
        <f>133.46</f>
        <v>133.46</v>
      </c>
      <c r="G20" s="5">
        <f>500</f>
        <v>500</v>
      </c>
      <c r="H20" s="5">
        <f>75.99</f>
        <v>75.989999999999995</v>
      </c>
      <c r="I20" s="5">
        <f>133.46</f>
        <v>133.46</v>
      </c>
      <c r="J20" s="5">
        <f>192.92</f>
        <v>192.92</v>
      </c>
      <c r="K20" s="5">
        <f>75.99</f>
        <v>75.989999999999995</v>
      </c>
      <c r="L20" s="5">
        <f>205.5</f>
        <v>205.5</v>
      </c>
      <c r="M20" s="5">
        <f>192.92</f>
        <v>192.92</v>
      </c>
      <c r="N20" s="5">
        <f>252.13</f>
        <v>252.13</v>
      </c>
      <c r="O20" s="5">
        <f>205.5</f>
        <v>205.5</v>
      </c>
      <c r="P20" s="5">
        <f>211.3</f>
        <v>211.3</v>
      </c>
      <c r="Q20" s="5">
        <f>252.13</f>
        <v>252.13</v>
      </c>
      <c r="R20" s="5">
        <f>346.7</f>
        <v>346.7</v>
      </c>
      <c r="S20" s="5">
        <f>211.3</f>
        <v>211.3</v>
      </c>
      <c r="T20" s="5">
        <f>299.64</f>
        <v>299.64</v>
      </c>
      <c r="U20" s="5">
        <f>346.7</f>
        <v>346.7</v>
      </c>
      <c r="V20" s="5">
        <f>456.5</f>
        <v>456.5</v>
      </c>
      <c r="W20" s="5">
        <f>299.64</f>
        <v>299.64</v>
      </c>
      <c r="X20" s="5">
        <f>201.68</f>
        <v>201.68</v>
      </c>
      <c r="Y20" s="5">
        <f>456.5</f>
        <v>456.5</v>
      </c>
      <c r="Z20" s="5">
        <f>116.71</f>
        <v>116.71</v>
      </c>
      <c r="AA20" s="5">
        <f>201.68</f>
        <v>201.68</v>
      </c>
      <c r="AB20" s="5">
        <f t="shared" si="0"/>
        <v>3394.02</v>
      </c>
      <c r="AC20" s="5">
        <f t="shared" si="1"/>
        <v>3635.8599999999997</v>
      </c>
    </row>
    <row r="21" spans="1:29" x14ac:dyDescent="0.3">
      <c r="A21" s="3" t="s">
        <v>43</v>
      </c>
      <c r="B21" s="5">
        <f>14.99</f>
        <v>14.99</v>
      </c>
      <c r="C21" s="4"/>
      <c r="D21" s="5">
        <f>0</f>
        <v>0</v>
      </c>
      <c r="E21" s="5">
        <f>14.99</f>
        <v>14.99</v>
      </c>
      <c r="F21" s="5">
        <f>0</f>
        <v>0</v>
      </c>
      <c r="G21" s="5">
        <f>0</f>
        <v>0</v>
      </c>
      <c r="H21" s="5">
        <f>0</f>
        <v>0</v>
      </c>
      <c r="I21" s="5">
        <f>0</f>
        <v>0</v>
      </c>
      <c r="J21" s="5">
        <f>0</f>
        <v>0</v>
      </c>
      <c r="K21" s="5">
        <f>0</f>
        <v>0</v>
      </c>
      <c r="L21" s="5">
        <f>0</f>
        <v>0</v>
      </c>
      <c r="M21" s="5">
        <f>0</f>
        <v>0</v>
      </c>
      <c r="N21" s="5">
        <f>0</f>
        <v>0</v>
      </c>
      <c r="O21" s="5">
        <f>0</f>
        <v>0</v>
      </c>
      <c r="P21" s="5">
        <f>0</f>
        <v>0</v>
      </c>
      <c r="Q21" s="5">
        <f>0</f>
        <v>0</v>
      </c>
      <c r="R21" s="5">
        <f>0</f>
        <v>0</v>
      </c>
      <c r="S21" s="5">
        <f>0</f>
        <v>0</v>
      </c>
      <c r="T21" s="5">
        <f>0</f>
        <v>0</v>
      </c>
      <c r="U21" s="5">
        <f>0</f>
        <v>0</v>
      </c>
      <c r="V21" s="5">
        <f>0</f>
        <v>0</v>
      </c>
      <c r="W21" s="5">
        <f>0</f>
        <v>0</v>
      </c>
      <c r="X21" s="5">
        <f>0</f>
        <v>0</v>
      </c>
      <c r="Y21" s="5">
        <f>0</f>
        <v>0</v>
      </c>
      <c r="Z21" s="5">
        <f>0</f>
        <v>0</v>
      </c>
      <c r="AA21" s="5">
        <f>0</f>
        <v>0</v>
      </c>
      <c r="AB21" s="5">
        <f t="shared" si="0"/>
        <v>14.99</v>
      </c>
      <c r="AC21" s="5">
        <f t="shared" si="1"/>
        <v>14.99</v>
      </c>
    </row>
    <row r="22" spans="1:29" x14ac:dyDescent="0.3">
      <c r="A22" s="3" t="s">
        <v>44</v>
      </c>
      <c r="B22" s="6">
        <f t="shared" ref="B22:AA22" si="4">(B20)+(B21)</f>
        <v>416.48</v>
      </c>
      <c r="C22" s="6">
        <f t="shared" si="4"/>
        <v>358.55</v>
      </c>
      <c r="D22" s="6">
        <f t="shared" si="4"/>
        <v>500</v>
      </c>
      <c r="E22" s="6">
        <f t="shared" si="4"/>
        <v>416.48</v>
      </c>
      <c r="F22" s="6">
        <f t="shared" si="4"/>
        <v>133.46</v>
      </c>
      <c r="G22" s="6">
        <f t="shared" si="4"/>
        <v>500</v>
      </c>
      <c r="H22" s="6">
        <f t="shared" si="4"/>
        <v>75.989999999999995</v>
      </c>
      <c r="I22" s="6">
        <f t="shared" si="4"/>
        <v>133.46</v>
      </c>
      <c r="J22" s="6">
        <f t="shared" si="4"/>
        <v>192.92</v>
      </c>
      <c r="K22" s="6">
        <f t="shared" si="4"/>
        <v>75.989999999999995</v>
      </c>
      <c r="L22" s="6">
        <f t="shared" si="4"/>
        <v>205.5</v>
      </c>
      <c r="M22" s="6">
        <f t="shared" si="4"/>
        <v>192.92</v>
      </c>
      <c r="N22" s="6">
        <f t="shared" si="4"/>
        <v>252.13</v>
      </c>
      <c r="O22" s="6">
        <f t="shared" si="4"/>
        <v>205.5</v>
      </c>
      <c r="P22" s="6">
        <f t="shared" si="4"/>
        <v>211.3</v>
      </c>
      <c r="Q22" s="6">
        <f t="shared" si="4"/>
        <v>252.13</v>
      </c>
      <c r="R22" s="6">
        <f t="shared" si="4"/>
        <v>346.7</v>
      </c>
      <c r="S22" s="6">
        <f t="shared" si="4"/>
        <v>211.3</v>
      </c>
      <c r="T22" s="6">
        <f t="shared" si="4"/>
        <v>299.64</v>
      </c>
      <c r="U22" s="6">
        <f t="shared" si="4"/>
        <v>346.7</v>
      </c>
      <c r="V22" s="6">
        <f t="shared" si="4"/>
        <v>456.5</v>
      </c>
      <c r="W22" s="6">
        <f t="shared" si="4"/>
        <v>299.64</v>
      </c>
      <c r="X22" s="6">
        <f t="shared" si="4"/>
        <v>201.68</v>
      </c>
      <c r="Y22" s="6">
        <f t="shared" si="4"/>
        <v>456.5</v>
      </c>
      <c r="Z22" s="6">
        <f t="shared" si="4"/>
        <v>116.71</v>
      </c>
      <c r="AA22" s="6">
        <f t="shared" si="4"/>
        <v>201.68</v>
      </c>
      <c r="AB22" s="6">
        <f t="shared" si="0"/>
        <v>3409.0099999999998</v>
      </c>
      <c r="AC22" s="6">
        <f t="shared" si="1"/>
        <v>3650.85</v>
      </c>
    </row>
    <row r="23" spans="1:29" x14ac:dyDescent="0.3">
      <c r="A23" s="3" t="s">
        <v>45</v>
      </c>
      <c r="B23" s="6">
        <f t="shared" ref="B23:AA23" si="5">((((B16)+(B17))+(B18))+(B19))+(B22)</f>
        <v>95316.62000000001</v>
      </c>
      <c r="C23" s="6">
        <f t="shared" si="5"/>
        <v>97361.180000000008</v>
      </c>
      <c r="D23" s="6">
        <f t="shared" si="5"/>
        <v>94222.559999999983</v>
      </c>
      <c r="E23" s="6">
        <f t="shared" si="5"/>
        <v>95316.62000000001</v>
      </c>
      <c r="F23" s="6">
        <f t="shared" si="5"/>
        <v>92870.28</v>
      </c>
      <c r="G23" s="6">
        <f t="shared" si="5"/>
        <v>94222.559999999983</v>
      </c>
      <c r="H23" s="6">
        <f t="shared" si="5"/>
        <v>90145.76</v>
      </c>
      <c r="I23" s="6">
        <f t="shared" si="5"/>
        <v>92870.28</v>
      </c>
      <c r="J23" s="6">
        <f t="shared" si="5"/>
        <v>95196.900000000009</v>
      </c>
      <c r="K23" s="6">
        <f t="shared" si="5"/>
        <v>90145.76</v>
      </c>
      <c r="L23" s="6">
        <f t="shared" si="5"/>
        <v>95075.29</v>
      </c>
      <c r="M23" s="6">
        <f t="shared" si="5"/>
        <v>95196.900000000009</v>
      </c>
      <c r="N23" s="6">
        <f t="shared" si="5"/>
        <v>92712.63</v>
      </c>
      <c r="O23" s="6">
        <f t="shared" si="5"/>
        <v>95075.29</v>
      </c>
      <c r="P23" s="6">
        <f t="shared" si="5"/>
        <v>91001</v>
      </c>
      <c r="Q23" s="6">
        <f t="shared" si="5"/>
        <v>92712.63</v>
      </c>
      <c r="R23" s="6">
        <f t="shared" si="5"/>
        <v>98178.79</v>
      </c>
      <c r="S23" s="6">
        <f t="shared" si="5"/>
        <v>91001</v>
      </c>
      <c r="T23" s="6">
        <f t="shared" si="5"/>
        <v>102221.39</v>
      </c>
      <c r="U23" s="6">
        <f t="shared" si="5"/>
        <v>98178.79</v>
      </c>
      <c r="V23" s="6">
        <f t="shared" si="5"/>
        <v>97864.599999999991</v>
      </c>
      <c r="W23" s="6">
        <f t="shared" si="5"/>
        <v>102221.39</v>
      </c>
      <c r="X23" s="6">
        <f t="shared" si="5"/>
        <v>94948.79</v>
      </c>
      <c r="Y23" s="6">
        <f t="shared" si="5"/>
        <v>97864.599999999991</v>
      </c>
      <c r="Z23" s="6">
        <f t="shared" si="5"/>
        <v>90948.970000000016</v>
      </c>
      <c r="AA23" s="6">
        <f t="shared" si="5"/>
        <v>94948.79</v>
      </c>
      <c r="AB23" s="6">
        <f t="shared" si="0"/>
        <v>1230703.58</v>
      </c>
      <c r="AC23" s="6">
        <f t="shared" si="1"/>
        <v>1237115.7900000003</v>
      </c>
    </row>
    <row r="24" spans="1:29" x14ac:dyDescent="0.3">
      <c r="A24" s="3" t="s">
        <v>46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1:29" x14ac:dyDescent="0.3">
      <c r="A25" s="3" t="s">
        <v>47</v>
      </c>
      <c r="B25" s="5">
        <f>289.23</f>
        <v>289.23</v>
      </c>
      <c r="C25" s="5">
        <f>233.91</f>
        <v>233.91</v>
      </c>
      <c r="D25" s="5">
        <f>353.61</f>
        <v>353.61</v>
      </c>
      <c r="E25" s="5">
        <f>289.23</f>
        <v>289.23</v>
      </c>
      <c r="F25" s="5">
        <f>104.25</f>
        <v>104.25</v>
      </c>
      <c r="G25" s="5">
        <f>353.61</f>
        <v>353.61</v>
      </c>
      <c r="H25" s="5">
        <f>215.09</f>
        <v>215.09</v>
      </c>
      <c r="I25" s="5">
        <f>104.25</f>
        <v>104.25</v>
      </c>
      <c r="J25" s="5">
        <f>193.12</f>
        <v>193.12</v>
      </c>
      <c r="K25" s="5">
        <f>215.09</f>
        <v>215.09</v>
      </c>
      <c r="L25" s="5">
        <f>138.85</f>
        <v>138.85</v>
      </c>
      <c r="M25" s="5">
        <f>193.12</f>
        <v>193.12</v>
      </c>
      <c r="N25" s="5">
        <f>193.39</f>
        <v>193.39</v>
      </c>
      <c r="O25" s="5">
        <f>138.85</f>
        <v>138.85</v>
      </c>
      <c r="P25" s="5">
        <f>155.42</f>
        <v>155.41999999999999</v>
      </c>
      <c r="Q25" s="5">
        <f>193.39</f>
        <v>193.39</v>
      </c>
      <c r="R25" s="5">
        <f>214.56</f>
        <v>214.56</v>
      </c>
      <c r="S25" s="5">
        <f>155.42</f>
        <v>155.41999999999999</v>
      </c>
      <c r="T25" s="5">
        <f>187.84</f>
        <v>187.84</v>
      </c>
      <c r="U25" s="5">
        <f>214.56</f>
        <v>214.56</v>
      </c>
      <c r="V25" s="5">
        <f>312.8</f>
        <v>312.8</v>
      </c>
      <c r="W25" s="5">
        <f>187.84</f>
        <v>187.84</v>
      </c>
      <c r="X25" s="5">
        <f>133.14</f>
        <v>133.13999999999999</v>
      </c>
      <c r="Y25" s="5">
        <f>312.8</f>
        <v>312.8</v>
      </c>
      <c r="Z25" s="5">
        <f>82.64</f>
        <v>82.64</v>
      </c>
      <c r="AA25" s="5">
        <f>133.14</f>
        <v>133.13999999999999</v>
      </c>
      <c r="AB25" s="5">
        <f t="shared" ref="AB25:AC27" si="6">((((((((((((B25)+(D25))+(F25))+(H25))+(J25))+(L25))+(N25))+(P25))+(R25))+(T25))+(V25))+(X25))+(Z25)</f>
        <v>2573.9399999999996</v>
      </c>
      <c r="AC25" s="5">
        <f t="shared" si="6"/>
        <v>2725.21</v>
      </c>
    </row>
    <row r="26" spans="1:29" x14ac:dyDescent="0.3">
      <c r="A26" s="3" t="s">
        <v>48</v>
      </c>
      <c r="B26" s="6">
        <f t="shared" ref="B26:AA26" si="7">B25</f>
        <v>289.23</v>
      </c>
      <c r="C26" s="6">
        <f t="shared" si="7"/>
        <v>233.91</v>
      </c>
      <c r="D26" s="6">
        <f t="shared" si="7"/>
        <v>353.61</v>
      </c>
      <c r="E26" s="6">
        <f t="shared" si="7"/>
        <v>289.23</v>
      </c>
      <c r="F26" s="6">
        <f t="shared" si="7"/>
        <v>104.25</v>
      </c>
      <c r="G26" s="6">
        <f t="shared" si="7"/>
        <v>353.61</v>
      </c>
      <c r="H26" s="6">
        <f t="shared" si="7"/>
        <v>215.09</v>
      </c>
      <c r="I26" s="6">
        <f t="shared" si="7"/>
        <v>104.25</v>
      </c>
      <c r="J26" s="6">
        <f t="shared" si="7"/>
        <v>193.12</v>
      </c>
      <c r="K26" s="6">
        <f t="shared" si="7"/>
        <v>215.09</v>
      </c>
      <c r="L26" s="6">
        <f t="shared" si="7"/>
        <v>138.85</v>
      </c>
      <c r="M26" s="6">
        <f t="shared" si="7"/>
        <v>193.12</v>
      </c>
      <c r="N26" s="6">
        <f t="shared" si="7"/>
        <v>193.39</v>
      </c>
      <c r="O26" s="6">
        <f t="shared" si="7"/>
        <v>138.85</v>
      </c>
      <c r="P26" s="6">
        <f t="shared" si="7"/>
        <v>155.41999999999999</v>
      </c>
      <c r="Q26" s="6">
        <f t="shared" si="7"/>
        <v>193.39</v>
      </c>
      <c r="R26" s="6">
        <f t="shared" si="7"/>
        <v>214.56</v>
      </c>
      <c r="S26" s="6">
        <f t="shared" si="7"/>
        <v>155.41999999999999</v>
      </c>
      <c r="T26" s="6">
        <f t="shared" si="7"/>
        <v>187.84</v>
      </c>
      <c r="U26" s="6">
        <f t="shared" si="7"/>
        <v>214.56</v>
      </c>
      <c r="V26" s="6">
        <f t="shared" si="7"/>
        <v>312.8</v>
      </c>
      <c r="W26" s="6">
        <f t="shared" si="7"/>
        <v>187.84</v>
      </c>
      <c r="X26" s="6">
        <f t="shared" si="7"/>
        <v>133.13999999999999</v>
      </c>
      <c r="Y26" s="6">
        <f t="shared" si="7"/>
        <v>312.8</v>
      </c>
      <c r="Z26" s="6">
        <f t="shared" si="7"/>
        <v>82.64</v>
      </c>
      <c r="AA26" s="6">
        <f t="shared" si="7"/>
        <v>133.13999999999999</v>
      </c>
      <c r="AB26" s="6">
        <f t="shared" si="6"/>
        <v>2573.9399999999996</v>
      </c>
      <c r="AC26" s="6">
        <f t="shared" si="6"/>
        <v>2725.21</v>
      </c>
    </row>
    <row r="27" spans="1:29" x14ac:dyDescent="0.3">
      <c r="A27" s="3" t="s">
        <v>49</v>
      </c>
      <c r="B27" s="6">
        <f t="shared" ref="B27:AA27" si="8">(B23)-(B26)</f>
        <v>95027.390000000014</v>
      </c>
      <c r="C27" s="6">
        <f t="shared" si="8"/>
        <v>97127.27</v>
      </c>
      <c r="D27" s="6">
        <f t="shared" si="8"/>
        <v>93868.949999999983</v>
      </c>
      <c r="E27" s="6">
        <f t="shared" si="8"/>
        <v>95027.390000000014</v>
      </c>
      <c r="F27" s="6">
        <f t="shared" si="8"/>
        <v>92766.03</v>
      </c>
      <c r="G27" s="6">
        <f t="shared" si="8"/>
        <v>93868.949999999983</v>
      </c>
      <c r="H27" s="6">
        <f t="shared" si="8"/>
        <v>89930.67</v>
      </c>
      <c r="I27" s="6">
        <f t="shared" si="8"/>
        <v>92766.03</v>
      </c>
      <c r="J27" s="6">
        <f t="shared" si="8"/>
        <v>95003.780000000013</v>
      </c>
      <c r="K27" s="6">
        <f t="shared" si="8"/>
        <v>89930.67</v>
      </c>
      <c r="L27" s="6">
        <f t="shared" si="8"/>
        <v>94936.439999999988</v>
      </c>
      <c r="M27" s="6">
        <f t="shared" si="8"/>
        <v>95003.780000000013</v>
      </c>
      <c r="N27" s="6">
        <f t="shared" si="8"/>
        <v>92519.24</v>
      </c>
      <c r="O27" s="6">
        <f t="shared" si="8"/>
        <v>94936.439999999988</v>
      </c>
      <c r="P27" s="6">
        <f t="shared" si="8"/>
        <v>90845.58</v>
      </c>
      <c r="Q27" s="6">
        <f t="shared" si="8"/>
        <v>92519.24</v>
      </c>
      <c r="R27" s="6">
        <f t="shared" si="8"/>
        <v>97964.23</v>
      </c>
      <c r="S27" s="6">
        <f t="shared" si="8"/>
        <v>90845.58</v>
      </c>
      <c r="T27" s="6">
        <f t="shared" si="8"/>
        <v>102033.55</v>
      </c>
      <c r="U27" s="6">
        <f t="shared" si="8"/>
        <v>97964.23</v>
      </c>
      <c r="V27" s="6">
        <f t="shared" si="8"/>
        <v>97551.799999999988</v>
      </c>
      <c r="W27" s="6">
        <f t="shared" si="8"/>
        <v>102033.55</v>
      </c>
      <c r="X27" s="6">
        <f t="shared" si="8"/>
        <v>94815.65</v>
      </c>
      <c r="Y27" s="6">
        <f t="shared" si="8"/>
        <v>97551.799999999988</v>
      </c>
      <c r="Z27" s="6">
        <f t="shared" si="8"/>
        <v>90866.330000000016</v>
      </c>
      <c r="AA27" s="6">
        <f t="shared" si="8"/>
        <v>94815.65</v>
      </c>
      <c r="AB27" s="6">
        <f t="shared" si="6"/>
        <v>1228129.6399999999</v>
      </c>
      <c r="AC27" s="6">
        <f t="shared" si="6"/>
        <v>1234390.5799999998</v>
      </c>
    </row>
    <row r="28" spans="1:29" x14ac:dyDescent="0.3">
      <c r="A28" s="3" t="s">
        <v>50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1:29" x14ac:dyDescent="0.3">
      <c r="A29" s="3" t="s">
        <v>51</v>
      </c>
      <c r="B29" s="5">
        <f>589.05</f>
        <v>589.04999999999995</v>
      </c>
      <c r="C29" s="4"/>
      <c r="D29" s="4"/>
      <c r="E29" s="5">
        <f>589.05</f>
        <v>589.04999999999995</v>
      </c>
      <c r="F29" s="4"/>
      <c r="G29" s="4"/>
      <c r="H29" s="5">
        <f>610.83</f>
        <v>610.83000000000004</v>
      </c>
      <c r="I29" s="4"/>
      <c r="J29" s="4"/>
      <c r="K29" s="5">
        <f>610.83</f>
        <v>610.83000000000004</v>
      </c>
      <c r="L29" s="4"/>
      <c r="M29" s="4"/>
      <c r="N29" s="4"/>
      <c r="O29" s="4"/>
      <c r="P29" s="4"/>
      <c r="Q29" s="4"/>
      <c r="R29" s="4"/>
      <c r="S29" s="4"/>
      <c r="T29" s="5">
        <f>610.83</f>
        <v>610.83000000000004</v>
      </c>
      <c r="U29" s="4"/>
      <c r="V29" s="4"/>
      <c r="W29" s="5">
        <f>610.83</f>
        <v>610.83000000000004</v>
      </c>
      <c r="X29" s="4"/>
      <c r="Y29" s="4"/>
      <c r="Z29" s="5">
        <f>610.83</f>
        <v>610.83000000000004</v>
      </c>
      <c r="AA29" s="4"/>
      <c r="AB29" s="5">
        <f t="shared" ref="AB29:AB64" si="9">((((((((((((B29)+(D29))+(F29))+(H29))+(J29))+(L29))+(N29))+(P29))+(R29))+(T29))+(V29))+(X29))+(Z29)</f>
        <v>2421.54</v>
      </c>
      <c r="AC29" s="5">
        <f t="shared" ref="AC29:AC64" si="10">((((((((((((C29)+(E29))+(G29))+(I29))+(K29))+(M29))+(O29))+(Q29))+(S29))+(U29))+(W29))+(Y29))+(AA29)</f>
        <v>1810.71</v>
      </c>
    </row>
    <row r="30" spans="1:29" x14ac:dyDescent="0.3">
      <c r="A30" s="3" t="s">
        <v>52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5">
        <f>610.83</f>
        <v>610.83000000000004</v>
      </c>
      <c r="O30" s="4"/>
      <c r="P30" s="4"/>
      <c r="Q30" s="5">
        <f>610.83</f>
        <v>610.83000000000004</v>
      </c>
      <c r="R30" s="4"/>
      <c r="S30" s="4"/>
      <c r="T30" s="4"/>
      <c r="U30" s="4"/>
      <c r="V30" s="4"/>
      <c r="W30" s="4"/>
      <c r="X30" s="4"/>
      <c r="Y30" s="4"/>
      <c r="Z30" s="4"/>
      <c r="AA30" s="4"/>
      <c r="AB30" s="5">
        <f t="shared" si="9"/>
        <v>610.83000000000004</v>
      </c>
      <c r="AC30" s="5">
        <f t="shared" si="10"/>
        <v>610.83000000000004</v>
      </c>
    </row>
    <row r="31" spans="1:29" x14ac:dyDescent="0.3">
      <c r="A31" s="3" t="s">
        <v>53</v>
      </c>
      <c r="B31" s="6">
        <f t="shared" ref="B31:AA31" si="11">(B29)+(B30)</f>
        <v>589.04999999999995</v>
      </c>
      <c r="C31" s="6">
        <f t="shared" si="11"/>
        <v>0</v>
      </c>
      <c r="D31" s="6">
        <f t="shared" si="11"/>
        <v>0</v>
      </c>
      <c r="E31" s="6">
        <f t="shared" si="11"/>
        <v>589.04999999999995</v>
      </c>
      <c r="F31" s="6">
        <f t="shared" si="11"/>
        <v>0</v>
      </c>
      <c r="G31" s="6">
        <f t="shared" si="11"/>
        <v>0</v>
      </c>
      <c r="H31" s="6">
        <f t="shared" si="11"/>
        <v>610.83000000000004</v>
      </c>
      <c r="I31" s="6">
        <f t="shared" si="11"/>
        <v>0</v>
      </c>
      <c r="J31" s="6">
        <f t="shared" si="11"/>
        <v>0</v>
      </c>
      <c r="K31" s="6">
        <f t="shared" si="11"/>
        <v>610.83000000000004</v>
      </c>
      <c r="L31" s="6">
        <f t="shared" si="11"/>
        <v>0</v>
      </c>
      <c r="M31" s="6">
        <f t="shared" si="11"/>
        <v>0</v>
      </c>
      <c r="N31" s="6">
        <f t="shared" si="11"/>
        <v>610.83000000000004</v>
      </c>
      <c r="O31" s="6">
        <f t="shared" si="11"/>
        <v>0</v>
      </c>
      <c r="P31" s="6">
        <f t="shared" si="11"/>
        <v>0</v>
      </c>
      <c r="Q31" s="6">
        <f t="shared" si="11"/>
        <v>610.83000000000004</v>
      </c>
      <c r="R31" s="6">
        <f t="shared" si="11"/>
        <v>0</v>
      </c>
      <c r="S31" s="6">
        <f t="shared" si="11"/>
        <v>0</v>
      </c>
      <c r="T31" s="6">
        <f t="shared" si="11"/>
        <v>610.83000000000004</v>
      </c>
      <c r="U31" s="6">
        <f t="shared" si="11"/>
        <v>0</v>
      </c>
      <c r="V31" s="6">
        <f t="shared" si="11"/>
        <v>0</v>
      </c>
      <c r="W31" s="6">
        <f t="shared" si="11"/>
        <v>610.83000000000004</v>
      </c>
      <c r="X31" s="6">
        <f t="shared" si="11"/>
        <v>0</v>
      </c>
      <c r="Y31" s="6">
        <f t="shared" si="11"/>
        <v>0</v>
      </c>
      <c r="Z31" s="6">
        <f t="shared" si="11"/>
        <v>610.83000000000004</v>
      </c>
      <c r="AA31" s="6">
        <f t="shared" si="11"/>
        <v>0</v>
      </c>
      <c r="AB31" s="6">
        <f t="shared" si="9"/>
        <v>3032.37</v>
      </c>
      <c r="AC31" s="6">
        <f t="shared" si="10"/>
        <v>2421.54</v>
      </c>
    </row>
    <row r="32" spans="1:29" x14ac:dyDescent="0.3">
      <c r="A32" s="3" t="s">
        <v>54</v>
      </c>
      <c r="B32" s="5">
        <f>32.35</f>
        <v>32.35</v>
      </c>
      <c r="C32" s="5">
        <f>36.93</f>
        <v>36.93</v>
      </c>
      <c r="D32" s="4"/>
      <c r="E32" s="5">
        <f>32.35</f>
        <v>32.35</v>
      </c>
      <c r="F32" s="5">
        <f>35.52</f>
        <v>35.520000000000003</v>
      </c>
      <c r="G32" s="4"/>
      <c r="H32" s="5">
        <f>26.54</f>
        <v>26.54</v>
      </c>
      <c r="I32" s="5">
        <f>35.52</f>
        <v>35.520000000000003</v>
      </c>
      <c r="J32" s="4"/>
      <c r="K32" s="5">
        <f>26.54</f>
        <v>26.54</v>
      </c>
      <c r="L32" s="4"/>
      <c r="M32" s="4"/>
      <c r="N32" s="5">
        <f>21.2</f>
        <v>21.2</v>
      </c>
      <c r="O32" s="4"/>
      <c r="P32" s="5">
        <f>175.69</f>
        <v>175.69</v>
      </c>
      <c r="Q32" s="5">
        <f>21.2</f>
        <v>21.2</v>
      </c>
      <c r="R32" s="5">
        <f>26.86</f>
        <v>26.86</v>
      </c>
      <c r="S32" s="5">
        <f>175.69</f>
        <v>175.69</v>
      </c>
      <c r="T32" s="5">
        <f>28.79</f>
        <v>28.79</v>
      </c>
      <c r="U32" s="5">
        <f>26.86</f>
        <v>26.86</v>
      </c>
      <c r="V32" s="5">
        <f>17</f>
        <v>17</v>
      </c>
      <c r="W32" s="5">
        <f>28.79</f>
        <v>28.79</v>
      </c>
      <c r="X32" s="5">
        <f>42.24</f>
        <v>42.24</v>
      </c>
      <c r="Y32" s="5">
        <f>17</f>
        <v>17</v>
      </c>
      <c r="Z32" s="5">
        <f>117</f>
        <v>117</v>
      </c>
      <c r="AA32" s="5">
        <f>42.24</f>
        <v>42.24</v>
      </c>
      <c r="AB32" s="5">
        <f t="shared" si="9"/>
        <v>523.19000000000005</v>
      </c>
      <c r="AC32" s="5">
        <f t="shared" si="10"/>
        <v>443.12000000000006</v>
      </c>
    </row>
    <row r="33" spans="1:29" x14ac:dyDescent="0.3">
      <c r="A33" s="3" t="s">
        <v>55</v>
      </c>
      <c r="B33" s="4"/>
      <c r="C33" s="4"/>
      <c r="D33" s="5">
        <f>26</f>
        <v>26</v>
      </c>
      <c r="E33" s="4"/>
      <c r="F33" s="4"/>
      <c r="G33" s="5">
        <f>26</f>
        <v>26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5">
        <f t="shared" si="9"/>
        <v>26</v>
      </c>
      <c r="AC33" s="5">
        <f t="shared" si="10"/>
        <v>26</v>
      </c>
    </row>
    <row r="34" spans="1:29" x14ac:dyDescent="0.3">
      <c r="A34" s="3" t="s">
        <v>56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5">
        <f>12</f>
        <v>12</v>
      </c>
      <c r="Q34" s="4"/>
      <c r="R34" s="4"/>
      <c r="S34" s="5">
        <f>12</f>
        <v>12</v>
      </c>
      <c r="T34" s="4"/>
      <c r="U34" s="4"/>
      <c r="V34" s="4"/>
      <c r="W34" s="4"/>
      <c r="X34" s="4"/>
      <c r="Y34" s="4"/>
      <c r="Z34" s="4"/>
      <c r="AA34" s="4"/>
      <c r="AB34" s="5">
        <f t="shared" si="9"/>
        <v>12</v>
      </c>
      <c r="AC34" s="5">
        <f t="shared" si="10"/>
        <v>12</v>
      </c>
    </row>
    <row r="35" spans="1:29" x14ac:dyDescent="0.3">
      <c r="A35" s="3" t="s">
        <v>57</v>
      </c>
      <c r="B35" s="6">
        <f t="shared" ref="B35:AA35" si="12">(B33)+(B34)</f>
        <v>0</v>
      </c>
      <c r="C35" s="6">
        <f t="shared" si="12"/>
        <v>0</v>
      </c>
      <c r="D35" s="6">
        <f t="shared" si="12"/>
        <v>26</v>
      </c>
      <c r="E35" s="6">
        <f t="shared" si="12"/>
        <v>0</v>
      </c>
      <c r="F35" s="6">
        <f t="shared" si="12"/>
        <v>0</v>
      </c>
      <c r="G35" s="6">
        <f t="shared" si="12"/>
        <v>26</v>
      </c>
      <c r="H35" s="6">
        <f t="shared" si="12"/>
        <v>0</v>
      </c>
      <c r="I35" s="6">
        <f t="shared" si="12"/>
        <v>0</v>
      </c>
      <c r="J35" s="6">
        <f t="shared" si="12"/>
        <v>0</v>
      </c>
      <c r="K35" s="6">
        <f t="shared" si="12"/>
        <v>0</v>
      </c>
      <c r="L35" s="6">
        <f t="shared" si="12"/>
        <v>0</v>
      </c>
      <c r="M35" s="6">
        <f t="shared" si="12"/>
        <v>0</v>
      </c>
      <c r="N35" s="6">
        <f t="shared" si="12"/>
        <v>0</v>
      </c>
      <c r="O35" s="6">
        <f t="shared" si="12"/>
        <v>0</v>
      </c>
      <c r="P35" s="6">
        <f t="shared" si="12"/>
        <v>12</v>
      </c>
      <c r="Q35" s="6">
        <f t="shared" si="12"/>
        <v>0</v>
      </c>
      <c r="R35" s="6">
        <f t="shared" si="12"/>
        <v>0</v>
      </c>
      <c r="S35" s="6">
        <f t="shared" si="12"/>
        <v>12</v>
      </c>
      <c r="T35" s="6">
        <f t="shared" si="12"/>
        <v>0</v>
      </c>
      <c r="U35" s="6">
        <f t="shared" si="12"/>
        <v>0</v>
      </c>
      <c r="V35" s="6">
        <f t="shared" si="12"/>
        <v>0</v>
      </c>
      <c r="W35" s="6">
        <f t="shared" si="12"/>
        <v>0</v>
      </c>
      <c r="X35" s="6">
        <f t="shared" si="12"/>
        <v>0</v>
      </c>
      <c r="Y35" s="6">
        <f t="shared" si="12"/>
        <v>0</v>
      </c>
      <c r="Z35" s="6">
        <f t="shared" si="12"/>
        <v>0</v>
      </c>
      <c r="AA35" s="6">
        <f t="shared" si="12"/>
        <v>0</v>
      </c>
      <c r="AB35" s="6">
        <f t="shared" si="9"/>
        <v>38</v>
      </c>
      <c r="AC35" s="6">
        <f t="shared" si="10"/>
        <v>38</v>
      </c>
    </row>
    <row r="36" spans="1:29" x14ac:dyDescent="0.3">
      <c r="A36" s="3" t="s">
        <v>58</v>
      </c>
      <c r="B36" s="5">
        <f>2176.56</f>
        <v>2176.56</v>
      </c>
      <c r="C36" s="5">
        <f>1907.58</f>
        <v>1907.58</v>
      </c>
      <c r="D36" s="5">
        <f>1707.43</f>
        <v>1707.43</v>
      </c>
      <c r="E36" s="5">
        <f>2176.56</f>
        <v>2176.56</v>
      </c>
      <c r="F36" s="5">
        <f>1737.25</f>
        <v>1737.25</v>
      </c>
      <c r="G36" s="5">
        <f>1707.43</f>
        <v>1707.43</v>
      </c>
      <c r="H36" s="5">
        <f>1647.6</f>
        <v>1647.6</v>
      </c>
      <c r="I36" s="5">
        <f>1737.25</f>
        <v>1737.25</v>
      </c>
      <c r="J36" s="5">
        <f>1710.34</f>
        <v>1710.34</v>
      </c>
      <c r="K36" s="5">
        <f>1647.6</f>
        <v>1647.6</v>
      </c>
      <c r="L36" s="5">
        <f>1674.88</f>
        <v>1674.88</v>
      </c>
      <c r="M36" s="5">
        <f>1710.34</f>
        <v>1710.34</v>
      </c>
      <c r="N36" s="5">
        <f>1558.05</f>
        <v>1558.05</v>
      </c>
      <c r="O36" s="5">
        <f>1674.88</f>
        <v>1674.88</v>
      </c>
      <c r="P36" s="5">
        <f>1722.59</f>
        <v>1722.59</v>
      </c>
      <c r="Q36" s="5">
        <f>1558.05</f>
        <v>1558.05</v>
      </c>
      <c r="R36" s="5">
        <f>1442.71</f>
        <v>1442.71</v>
      </c>
      <c r="S36" s="5">
        <f>1722.59</f>
        <v>1722.59</v>
      </c>
      <c r="T36" s="5">
        <f>1779.94</f>
        <v>1779.94</v>
      </c>
      <c r="U36" s="5">
        <f>1442.71</f>
        <v>1442.71</v>
      </c>
      <c r="V36" s="5">
        <f>1722.45</f>
        <v>1722.45</v>
      </c>
      <c r="W36" s="5">
        <f>1779.94</f>
        <v>1779.94</v>
      </c>
      <c r="X36" s="4"/>
      <c r="Y36" s="5">
        <f>1722.45</f>
        <v>1722.45</v>
      </c>
      <c r="Z36" s="4"/>
      <c r="AA36" s="4"/>
      <c r="AB36" s="5">
        <f t="shared" si="9"/>
        <v>18879.8</v>
      </c>
      <c r="AC36" s="5">
        <f t="shared" si="10"/>
        <v>20787.379999999997</v>
      </c>
    </row>
    <row r="37" spans="1:29" x14ac:dyDescent="0.3">
      <c r="A37" s="3" t="s">
        <v>59</v>
      </c>
      <c r="B37" s="5">
        <f>4324.21</f>
        <v>4324.21</v>
      </c>
      <c r="C37" s="5">
        <f>526.5</f>
        <v>526.5</v>
      </c>
      <c r="D37" s="5">
        <f>1350.87</f>
        <v>1350.87</v>
      </c>
      <c r="E37" s="5">
        <f>4324.21</f>
        <v>4324.21</v>
      </c>
      <c r="F37" s="5">
        <f>1992.99</f>
        <v>1992.99</v>
      </c>
      <c r="G37" s="5">
        <f>1350.87</f>
        <v>1350.87</v>
      </c>
      <c r="H37" s="5">
        <f>1593.59</f>
        <v>1593.59</v>
      </c>
      <c r="I37" s="5">
        <f>1992.99</f>
        <v>1992.99</v>
      </c>
      <c r="J37" s="5">
        <f>2274.6</f>
        <v>2274.6</v>
      </c>
      <c r="K37" s="5">
        <f>1593.59</f>
        <v>1593.59</v>
      </c>
      <c r="L37" s="5">
        <f>718.46</f>
        <v>718.46</v>
      </c>
      <c r="M37" s="5">
        <f>2274.6</f>
        <v>2274.6</v>
      </c>
      <c r="N37" s="5">
        <f>2819</f>
        <v>2819</v>
      </c>
      <c r="O37" s="5">
        <f>718.46</f>
        <v>718.46</v>
      </c>
      <c r="P37" s="5">
        <f>1707.24</f>
        <v>1707.24</v>
      </c>
      <c r="Q37" s="5">
        <f>2819</f>
        <v>2819</v>
      </c>
      <c r="R37" s="5">
        <f>863.37</f>
        <v>863.37</v>
      </c>
      <c r="S37" s="5">
        <f>1707.24</f>
        <v>1707.24</v>
      </c>
      <c r="T37" s="5">
        <f>720.47</f>
        <v>720.47</v>
      </c>
      <c r="U37" s="5">
        <f>863.37</f>
        <v>863.37</v>
      </c>
      <c r="V37" s="5">
        <f>2258.05</f>
        <v>2258.0500000000002</v>
      </c>
      <c r="W37" s="5">
        <f>720.47</f>
        <v>720.47</v>
      </c>
      <c r="X37" s="5">
        <f>2974.54</f>
        <v>2974.54</v>
      </c>
      <c r="Y37" s="5">
        <f>2258.05</f>
        <v>2258.0500000000002</v>
      </c>
      <c r="Z37" s="5">
        <f>1100.47</f>
        <v>1100.47</v>
      </c>
      <c r="AA37" s="5">
        <f>2974.54</f>
        <v>2974.54</v>
      </c>
      <c r="AB37" s="5">
        <f t="shared" si="9"/>
        <v>24697.860000000004</v>
      </c>
      <c r="AC37" s="5">
        <f t="shared" si="10"/>
        <v>24123.890000000003</v>
      </c>
    </row>
    <row r="38" spans="1:29" x14ac:dyDescent="0.3">
      <c r="A38" s="3" t="s">
        <v>60</v>
      </c>
      <c r="B38" s="5">
        <f>321.9</f>
        <v>321.89999999999998</v>
      </c>
      <c r="C38" s="4"/>
      <c r="D38" s="4"/>
      <c r="E38" s="5">
        <f>321.9</f>
        <v>321.89999999999998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5">
        <f t="shared" si="9"/>
        <v>321.89999999999998</v>
      </c>
      <c r="AC38" s="5">
        <f t="shared" si="10"/>
        <v>321.89999999999998</v>
      </c>
    </row>
    <row r="39" spans="1:29" x14ac:dyDescent="0.3">
      <c r="A39" s="3" t="s">
        <v>61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5">
        <f t="shared" si="9"/>
        <v>0</v>
      </c>
      <c r="AC39" s="5">
        <f t="shared" si="10"/>
        <v>0</v>
      </c>
    </row>
    <row r="40" spans="1:29" x14ac:dyDescent="0.3">
      <c r="A40" s="3" t="s">
        <v>62</v>
      </c>
      <c r="B40" s="5">
        <f>229.21</f>
        <v>229.21</v>
      </c>
      <c r="C40" s="5">
        <f>235.01</f>
        <v>235.01</v>
      </c>
      <c r="D40" s="5">
        <f>217.81</f>
        <v>217.81</v>
      </c>
      <c r="E40" s="5">
        <f>229.21</f>
        <v>229.21</v>
      </c>
      <c r="F40" s="5">
        <f>215.97</f>
        <v>215.97</v>
      </c>
      <c r="G40" s="5">
        <f>217.81</f>
        <v>217.81</v>
      </c>
      <c r="H40" s="5">
        <f>298.85</f>
        <v>298.85000000000002</v>
      </c>
      <c r="I40" s="5">
        <f>215.97</f>
        <v>215.97</v>
      </c>
      <c r="J40" s="5">
        <f>281.92</f>
        <v>281.92</v>
      </c>
      <c r="K40" s="5">
        <f>298.85</f>
        <v>298.85000000000002</v>
      </c>
      <c r="L40" s="5">
        <f>145.69</f>
        <v>145.69</v>
      </c>
      <c r="M40" s="5">
        <f>281.92</f>
        <v>281.92</v>
      </c>
      <c r="N40" s="5">
        <f>161.77</f>
        <v>161.77000000000001</v>
      </c>
      <c r="O40" s="5">
        <f>145.69</f>
        <v>145.69</v>
      </c>
      <c r="P40" s="5">
        <f>165.63</f>
        <v>165.63</v>
      </c>
      <c r="Q40" s="5">
        <f>161.77</f>
        <v>161.77000000000001</v>
      </c>
      <c r="R40" s="5">
        <f>163.67</f>
        <v>163.66999999999999</v>
      </c>
      <c r="S40" s="5">
        <f>165.63</f>
        <v>165.63</v>
      </c>
      <c r="T40" s="5">
        <f>254.98</f>
        <v>254.98</v>
      </c>
      <c r="U40" s="5">
        <f>163.67</f>
        <v>163.66999999999999</v>
      </c>
      <c r="V40" s="5">
        <f>178.35</f>
        <v>178.35</v>
      </c>
      <c r="W40" s="5">
        <f>254.98</f>
        <v>254.98</v>
      </c>
      <c r="X40" s="5">
        <f>184.26</f>
        <v>184.26</v>
      </c>
      <c r="Y40" s="5">
        <f>178.35</f>
        <v>178.35</v>
      </c>
      <c r="Z40" s="5">
        <f>163.68</f>
        <v>163.68</v>
      </c>
      <c r="AA40" s="5">
        <f>184.26</f>
        <v>184.26</v>
      </c>
      <c r="AB40" s="5">
        <f t="shared" si="9"/>
        <v>2661.7899999999995</v>
      </c>
      <c r="AC40" s="5">
        <f t="shared" si="10"/>
        <v>2733.12</v>
      </c>
    </row>
    <row r="41" spans="1:29" x14ac:dyDescent="0.3">
      <c r="A41" s="3" t="s">
        <v>63</v>
      </c>
      <c r="B41" s="6">
        <f t="shared" ref="B41:AA41" si="13">(B39)+(B40)</f>
        <v>229.21</v>
      </c>
      <c r="C41" s="6">
        <f t="shared" si="13"/>
        <v>235.01</v>
      </c>
      <c r="D41" s="6">
        <f t="shared" si="13"/>
        <v>217.81</v>
      </c>
      <c r="E41" s="6">
        <f t="shared" si="13"/>
        <v>229.21</v>
      </c>
      <c r="F41" s="6">
        <f t="shared" si="13"/>
        <v>215.97</v>
      </c>
      <c r="G41" s="6">
        <f t="shared" si="13"/>
        <v>217.81</v>
      </c>
      <c r="H41" s="6">
        <f t="shared" si="13"/>
        <v>298.85000000000002</v>
      </c>
      <c r="I41" s="6">
        <f t="shared" si="13"/>
        <v>215.97</v>
      </c>
      <c r="J41" s="6">
        <f t="shared" si="13"/>
        <v>281.92</v>
      </c>
      <c r="K41" s="6">
        <f t="shared" si="13"/>
        <v>298.85000000000002</v>
      </c>
      <c r="L41" s="6">
        <f t="shared" si="13"/>
        <v>145.69</v>
      </c>
      <c r="M41" s="6">
        <f t="shared" si="13"/>
        <v>281.92</v>
      </c>
      <c r="N41" s="6">
        <f t="shared" si="13"/>
        <v>161.77000000000001</v>
      </c>
      <c r="O41" s="6">
        <f t="shared" si="13"/>
        <v>145.69</v>
      </c>
      <c r="P41" s="6">
        <f t="shared" si="13"/>
        <v>165.63</v>
      </c>
      <c r="Q41" s="6">
        <f t="shared" si="13"/>
        <v>161.77000000000001</v>
      </c>
      <c r="R41" s="6">
        <f t="shared" si="13"/>
        <v>163.66999999999999</v>
      </c>
      <c r="S41" s="6">
        <f t="shared" si="13"/>
        <v>165.63</v>
      </c>
      <c r="T41" s="6">
        <f t="shared" si="13"/>
        <v>254.98</v>
      </c>
      <c r="U41" s="6">
        <f t="shared" si="13"/>
        <v>163.66999999999999</v>
      </c>
      <c r="V41" s="6">
        <f t="shared" si="13"/>
        <v>178.35</v>
      </c>
      <c r="W41" s="6">
        <f t="shared" si="13"/>
        <v>254.98</v>
      </c>
      <c r="X41" s="6">
        <f t="shared" si="13"/>
        <v>184.26</v>
      </c>
      <c r="Y41" s="6">
        <f t="shared" si="13"/>
        <v>178.35</v>
      </c>
      <c r="Z41" s="6">
        <f t="shared" si="13"/>
        <v>163.68</v>
      </c>
      <c r="AA41" s="6">
        <f t="shared" si="13"/>
        <v>184.26</v>
      </c>
      <c r="AB41" s="6">
        <f t="shared" si="9"/>
        <v>2661.7899999999995</v>
      </c>
      <c r="AC41" s="6">
        <f t="shared" si="10"/>
        <v>2733.12</v>
      </c>
    </row>
    <row r="42" spans="1:29" x14ac:dyDescent="0.3">
      <c r="A42" s="3" t="s">
        <v>64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5">
        <f t="shared" si="9"/>
        <v>0</v>
      </c>
      <c r="AC42" s="5">
        <f t="shared" si="10"/>
        <v>0</v>
      </c>
    </row>
    <row r="43" spans="1:29" x14ac:dyDescent="0.3">
      <c r="A43" s="3" t="s">
        <v>65</v>
      </c>
      <c r="B43" s="4"/>
      <c r="C43" s="4"/>
      <c r="D43" s="4"/>
      <c r="E43" s="4"/>
      <c r="F43" s="4"/>
      <c r="G43" s="4"/>
      <c r="H43" s="5">
        <f>1106</f>
        <v>1106</v>
      </c>
      <c r="I43" s="4"/>
      <c r="J43" s="4"/>
      <c r="K43" s="5">
        <f>1106</f>
        <v>1106</v>
      </c>
      <c r="L43" s="5">
        <f>142</f>
        <v>142</v>
      </c>
      <c r="M43" s="4"/>
      <c r="N43" s="4"/>
      <c r="O43" s="5">
        <f>142</f>
        <v>142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5">
        <f t="shared" si="9"/>
        <v>1248</v>
      </c>
      <c r="AC43" s="5">
        <f t="shared" si="10"/>
        <v>1248</v>
      </c>
    </row>
    <row r="44" spans="1:29" x14ac:dyDescent="0.3">
      <c r="A44" s="3" t="s">
        <v>66</v>
      </c>
      <c r="B44" s="5">
        <f>469.17</f>
        <v>469.17</v>
      </c>
      <c r="C44" s="5">
        <f>469.17</f>
        <v>469.17</v>
      </c>
      <c r="D44" s="5">
        <f>2424.31</f>
        <v>2424.31</v>
      </c>
      <c r="E44" s="5">
        <f>469.17</f>
        <v>469.17</v>
      </c>
      <c r="F44" s="5">
        <f>-210.41</f>
        <v>-210.41</v>
      </c>
      <c r="G44" s="5">
        <f>2424.31</f>
        <v>2424.31</v>
      </c>
      <c r="H44" s="5">
        <f>-607.16</f>
        <v>-607.16</v>
      </c>
      <c r="I44" s="5">
        <f>-210.41</f>
        <v>-210.41</v>
      </c>
      <c r="J44" s="5">
        <f>1204.5</f>
        <v>1204.5</v>
      </c>
      <c r="K44" s="5">
        <f>-607.16</f>
        <v>-607.16</v>
      </c>
      <c r="L44" s="5">
        <f>2584.56</f>
        <v>2584.56</v>
      </c>
      <c r="M44" s="5">
        <f>1204.5</f>
        <v>1204.5</v>
      </c>
      <c r="N44" s="5">
        <f>-699.26</f>
        <v>-699.26</v>
      </c>
      <c r="O44" s="5">
        <f>2584.56</f>
        <v>2584.56</v>
      </c>
      <c r="P44" s="5">
        <f>1677.38</f>
        <v>1677.38</v>
      </c>
      <c r="Q44" s="5">
        <f>-699.26</f>
        <v>-699.26</v>
      </c>
      <c r="R44" s="5">
        <f>-1048.89</f>
        <v>-1048.8900000000001</v>
      </c>
      <c r="S44" s="5">
        <f>1677.38</f>
        <v>1677.38</v>
      </c>
      <c r="T44" s="5">
        <f>1677.38</f>
        <v>1677.38</v>
      </c>
      <c r="U44" s="5">
        <f>-1048.89</f>
        <v>-1048.8900000000001</v>
      </c>
      <c r="V44" s="5">
        <f>-699.98</f>
        <v>-699.98</v>
      </c>
      <c r="W44" s="5">
        <f>1677.38</f>
        <v>1677.38</v>
      </c>
      <c r="X44" s="5">
        <f>-1466.44</f>
        <v>-1466.44</v>
      </c>
      <c r="Y44" s="5">
        <f>-699.98</f>
        <v>-699.98</v>
      </c>
      <c r="Z44" s="5">
        <f>488.7</f>
        <v>488.7</v>
      </c>
      <c r="AA44" s="5">
        <f>-1466.44</f>
        <v>-1466.44</v>
      </c>
      <c r="AB44" s="5">
        <f t="shared" si="9"/>
        <v>5793.86</v>
      </c>
      <c r="AC44" s="5">
        <f t="shared" si="10"/>
        <v>5774.33</v>
      </c>
    </row>
    <row r="45" spans="1:29" x14ac:dyDescent="0.3">
      <c r="A45" s="3" t="s">
        <v>67</v>
      </c>
      <c r="B45" s="5">
        <f>1200.11</f>
        <v>1200.1099999999999</v>
      </c>
      <c r="C45" s="5">
        <f>1200.11</f>
        <v>1200.1099999999999</v>
      </c>
      <c r="D45" s="5">
        <f>1200.1</f>
        <v>1200.0999999999999</v>
      </c>
      <c r="E45" s="5">
        <f>1200.11</f>
        <v>1200.1099999999999</v>
      </c>
      <c r="F45" s="5">
        <f>0</f>
        <v>0</v>
      </c>
      <c r="G45" s="5">
        <f>1200.1</f>
        <v>1200.0999999999999</v>
      </c>
      <c r="H45" s="5">
        <f>4749.12</f>
        <v>4749.12</v>
      </c>
      <c r="I45" s="5">
        <f>0</f>
        <v>0</v>
      </c>
      <c r="J45" s="5">
        <f>1357.19</f>
        <v>1357.19</v>
      </c>
      <c r="K45" s="5">
        <f>4749.12</f>
        <v>4749.12</v>
      </c>
      <c r="L45" s="5">
        <f t="shared" ref="L45:AA45" si="14">1357.19</f>
        <v>1357.19</v>
      </c>
      <c r="M45" s="5">
        <f t="shared" si="14"/>
        <v>1357.19</v>
      </c>
      <c r="N45" s="5">
        <f t="shared" si="14"/>
        <v>1357.19</v>
      </c>
      <c r="O45" s="5">
        <f t="shared" si="14"/>
        <v>1357.19</v>
      </c>
      <c r="P45" s="5">
        <f t="shared" si="14"/>
        <v>1357.19</v>
      </c>
      <c r="Q45" s="5">
        <f t="shared" si="14"/>
        <v>1357.19</v>
      </c>
      <c r="R45" s="5">
        <f t="shared" si="14"/>
        <v>1357.19</v>
      </c>
      <c r="S45" s="5">
        <f t="shared" si="14"/>
        <v>1357.19</v>
      </c>
      <c r="T45" s="5">
        <f t="shared" si="14"/>
        <v>1357.19</v>
      </c>
      <c r="U45" s="5">
        <f t="shared" si="14"/>
        <v>1357.19</v>
      </c>
      <c r="V45" s="5">
        <f t="shared" si="14"/>
        <v>1357.19</v>
      </c>
      <c r="W45" s="5">
        <f t="shared" si="14"/>
        <v>1357.19</v>
      </c>
      <c r="X45" s="5">
        <f t="shared" si="14"/>
        <v>1357.19</v>
      </c>
      <c r="Y45" s="5">
        <f t="shared" si="14"/>
        <v>1357.19</v>
      </c>
      <c r="Z45" s="5">
        <f t="shared" si="14"/>
        <v>1357.19</v>
      </c>
      <c r="AA45" s="5">
        <f t="shared" si="14"/>
        <v>1357.19</v>
      </c>
      <c r="AB45" s="5">
        <f t="shared" si="9"/>
        <v>19364.04</v>
      </c>
      <c r="AC45" s="5">
        <f t="shared" si="10"/>
        <v>19206.96</v>
      </c>
    </row>
    <row r="46" spans="1:29" x14ac:dyDescent="0.3">
      <c r="A46" s="3" t="s">
        <v>68</v>
      </c>
      <c r="B46" s="6">
        <f t="shared" ref="B46:AA46" si="15">(((B42)+(B43))+(B44))+(B45)</f>
        <v>1669.28</v>
      </c>
      <c r="C46" s="6">
        <f t="shared" si="15"/>
        <v>1669.28</v>
      </c>
      <c r="D46" s="6">
        <f t="shared" si="15"/>
        <v>3624.41</v>
      </c>
      <c r="E46" s="6">
        <f t="shared" si="15"/>
        <v>1669.28</v>
      </c>
      <c r="F46" s="6">
        <f t="shared" si="15"/>
        <v>-210.41</v>
      </c>
      <c r="G46" s="6">
        <f t="shared" si="15"/>
        <v>3624.41</v>
      </c>
      <c r="H46" s="6">
        <f t="shared" si="15"/>
        <v>5247.96</v>
      </c>
      <c r="I46" s="6">
        <f t="shared" si="15"/>
        <v>-210.41</v>
      </c>
      <c r="J46" s="6">
        <f t="shared" si="15"/>
        <v>2561.69</v>
      </c>
      <c r="K46" s="6">
        <f t="shared" si="15"/>
        <v>5247.96</v>
      </c>
      <c r="L46" s="6">
        <f t="shared" si="15"/>
        <v>4083.75</v>
      </c>
      <c r="M46" s="6">
        <f t="shared" si="15"/>
        <v>2561.69</v>
      </c>
      <c r="N46" s="6">
        <f t="shared" si="15"/>
        <v>657.93000000000006</v>
      </c>
      <c r="O46" s="6">
        <f t="shared" si="15"/>
        <v>4083.75</v>
      </c>
      <c r="P46" s="6">
        <f t="shared" si="15"/>
        <v>3034.57</v>
      </c>
      <c r="Q46" s="6">
        <f t="shared" si="15"/>
        <v>657.93000000000006</v>
      </c>
      <c r="R46" s="6">
        <f t="shared" si="15"/>
        <v>308.29999999999995</v>
      </c>
      <c r="S46" s="6">
        <f t="shared" si="15"/>
        <v>3034.57</v>
      </c>
      <c r="T46" s="6">
        <f t="shared" si="15"/>
        <v>3034.57</v>
      </c>
      <c r="U46" s="6">
        <f t="shared" si="15"/>
        <v>308.29999999999995</v>
      </c>
      <c r="V46" s="6">
        <f t="shared" si="15"/>
        <v>657.21</v>
      </c>
      <c r="W46" s="6">
        <f t="shared" si="15"/>
        <v>3034.57</v>
      </c>
      <c r="X46" s="6">
        <f t="shared" si="15"/>
        <v>-109.25</v>
      </c>
      <c r="Y46" s="6">
        <f t="shared" si="15"/>
        <v>657.21</v>
      </c>
      <c r="Z46" s="6">
        <f t="shared" si="15"/>
        <v>1845.89</v>
      </c>
      <c r="AA46" s="6">
        <f t="shared" si="15"/>
        <v>-109.25</v>
      </c>
      <c r="AB46" s="6">
        <f t="shared" si="9"/>
        <v>26405.899999999998</v>
      </c>
      <c r="AC46" s="6">
        <f t="shared" si="10"/>
        <v>26229.289999999997</v>
      </c>
    </row>
    <row r="47" spans="1:29" x14ac:dyDescent="0.3">
      <c r="A47" s="3" t="s">
        <v>69</v>
      </c>
      <c r="B47" s="5">
        <f>100</f>
        <v>100</v>
      </c>
      <c r="C47" s="5">
        <f>100</f>
        <v>100</v>
      </c>
      <c r="D47" s="5">
        <f>100</f>
        <v>100</v>
      </c>
      <c r="E47" s="5">
        <f>100</f>
        <v>100</v>
      </c>
      <c r="F47" s="5">
        <f>100</f>
        <v>100</v>
      </c>
      <c r="G47" s="5">
        <f>100</f>
        <v>100</v>
      </c>
      <c r="H47" s="5">
        <f>100</f>
        <v>100</v>
      </c>
      <c r="I47" s="5">
        <f>100</f>
        <v>100</v>
      </c>
      <c r="J47" s="5">
        <f>100</f>
        <v>100</v>
      </c>
      <c r="K47" s="5">
        <f>100</f>
        <v>100</v>
      </c>
      <c r="L47" s="5">
        <f>100</f>
        <v>100</v>
      </c>
      <c r="M47" s="5">
        <f>100</f>
        <v>100</v>
      </c>
      <c r="N47" s="5">
        <f>100</f>
        <v>100</v>
      </c>
      <c r="O47" s="5">
        <f>100</f>
        <v>100</v>
      </c>
      <c r="P47" s="5">
        <f>100</f>
        <v>100</v>
      </c>
      <c r="Q47" s="5">
        <f>100</f>
        <v>100</v>
      </c>
      <c r="R47" s="5">
        <f>100</f>
        <v>100</v>
      </c>
      <c r="S47" s="5">
        <f>100</f>
        <v>100</v>
      </c>
      <c r="T47" s="5">
        <f>100</f>
        <v>100</v>
      </c>
      <c r="U47" s="5">
        <f>100</f>
        <v>100</v>
      </c>
      <c r="V47" s="5">
        <f>100</f>
        <v>100</v>
      </c>
      <c r="W47" s="5">
        <f>100</f>
        <v>100</v>
      </c>
      <c r="X47" s="5">
        <f>100</f>
        <v>100</v>
      </c>
      <c r="Y47" s="5">
        <f>100</f>
        <v>100</v>
      </c>
      <c r="Z47" s="5">
        <f>100</f>
        <v>100</v>
      </c>
      <c r="AA47" s="5">
        <f>100</f>
        <v>100</v>
      </c>
      <c r="AB47" s="5">
        <f t="shared" si="9"/>
        <v>1300</v>
      </c>
      <c r="AC47" s="5">
        <f t="shared" si="10"/>
        <v>1300</v>
      </c>
    </row>
    <row r="48" spans="1:29" x14ac:dyDescent="0.3">
      <c r="A48" s="3" t="s">
        <v>70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5">
        <f>-1</f>
        <v>-1</v>
      </c>
      <c r="Y48" s="4"/>
      <c r="Z48" s="4"/>
      <c r="AA48" s="5">
        <f>-1</f>
        <v>-1</v>
      </c>
      <c r="AB48" s="5">
        <f t="shared" si="9"/>
        <v>-1</v>
      </c>
      <c r="AC48" s="5">
        <f t="shared" si="10"/>
        <v>-1</v>
      </c>
    </row>
    <row r="49" spans="1:29" x14ac:dyDescent="0.3">
      <c r="A49" s="3" t="s">
        <v>71</v>
      </c>
      <c r="B49" s="5">
        <f>1058.41</f>
        <v>1058.4100000000001</v>
      </c>
      <c r="C49" s="4"/>
      <c r="D49" s="4"/>
      <c r="E49" s="5">
        <f>1058.41</f>
        <v>1058.4100000000001</v>
      </c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5">
        <f t="shared" si="9"/>
        <v>1058.4100000000001</v>
      </c>
      <c r="AC49" s="5">
        <f t="shared" si="10"/>
        <v>1058.4100000000001</v>
      </c>
    </row>
    <row r="50" spans="1:29" x14ac:dyDescent="0.3">
      <c r="A50" s="3" t="s">
        <v>72</v>
      </c>
      <c r="B50" s="5">
        <f>273.62</f>
        <v>273.62</v>
      </c>
      <c r="C50" s="5">
        <f>260.62</f>
        <v>260.62</v>
      </c>
      <c r="D50" s="5">
        <f>260.62</f>
        <v>260.62</v>
      </c>
      <c r="E50" s="5">
        <f>273.62</f>
        <v>273.62</v>
      </c>
      <c r="F50" s="5">
        <f>390.93</f>
        <v>390.93</v>
      </c>
      <c r="G50" s="5">
        <f>260.62</f>
        <v>260.62</v>
      </c>
      <c r="H50" s="5">
        <f>269.83</f>
        <v>269.83</v>
      </c>
      <c r="I50" s="5">
        <f>390.93</f>
        <v>390.93</v>
      </c>
      <c r="J50" s="5">
        <f>547.62</f>
        <v>547.62</v>
      </c>
      <c r="K50" s="5">
        <f>269.83</f>
        <v>269.83</v>
      </c>
      <c r="L50" s="5">
        <f>191.68</f>
        <v>191.68</v>
      </c>
      <c r="M50" s="5">
        <f>547.62</f>
        <v>547.62</v>
      </c>
      <c r="N50" s="5">
        <f>155.61</f>
        <v>155.61000000000001</v>
      </c>
      <c r="O50" s="5">
        <f>191.68</f>
        <v>191.68</v>
      </c>
      <c r="P50" s="5">
        <f>59.88</f>
        <v>59.88</v>
      </c>
      <c r="Q50" s="5">
        <f>155.61</f>
        <v>155.61000000000001</v>
      </c>
      <c r="R50" s="5">
        <f>59.88</f>
        <v>59.88</v>
      </c>
      <c r="S50" s="5">
        <f>59.88</f>
        <v>59.88</v>
      </c>
      <c r="T50" s="5">
        <f>59.88</f>
        <v>59.88</v>
      </c>
      <c r="U50" s="5">
        <f>59.88</f>
        <v>59.88</v>
      </c>
      <c r="V50" s="5">
        <f>0</f>
        <v>0</v>
      </c>
      <c r="W50" s="5">
        <f>59.88</f>
        <v>59.88</v>
      </c>
      <c r="X50" s="5">
        <f>0</f>
        <v>0</v>
      </c>
      <c r="Y50" s="5">
        <f>0</f>
        <v>0</v>
      </c>
      <c r="Z50" s="5">
        <f>79.84</f>
        <v>79.84</v>
      </c>
      <c r="AA50" s="5">
        <f>0</f>
        <v>0</v>
      </c>
      <c r="AB50" s="5">
        <f t="shared" si="9"/>
        <v>2349.3900000000003</v>
      </c>
      <c r="AC50" s="5">
        <f t="shared" si="10"/>
        <v>2530.17</v>
      </c>
    </row>
    <row r="51" spans="1:29" x14ac:dyDescent="0.3">
      <c r="A51" s="3" t="s">
        <v>73</v>
      </c>
      <c r="B51" s="5">
        <f>35000</f>
        <v>35000</v>
      </c>
      <c r="C51" s="5">
        <f>35000</f>
        <v>35000</v>
      </c>
      <c r="D51" s="5">
        <f>3000</f>
        <v>3000</v>
      </c>
      <c r="E51" s="5">
        <f>35000</f>
        <v>35000</v>
      </c>
      <c r="F51" s="5">
        <f>70000</f>
        <v>70000</v>
      </c>
      <c r="G51" s="5">
        <f>3000</f>
        <v>3000</v>
      </c>
      <c r="H51" s="5">
        <f>35000</f>
        <v>35000</v>
      </c>
      <c r="I51" s="5">
        <f>70000</f>
        <v>70000</v>
      </c>
      <c r="J51" s="5">
        <f>35000</f>
        <v>35000</v>
      </c>
      <c r="K51" s="5">
        <f>35000</f>
        <v>35000</v>
      </c>
      <c r="L51" s="5">
        <f>35000</f>
        <v>35000</v>
      </c>
      <c r="M51" s="5">
        <f>35000</f>
        <v>35000</v>
      </c>
      <c r="N51" s="5">
        <f>35000</f>
        <v>35000</v>
      </c>
      <c r="O51" s="5">
        <f>35000</f>
        <v>35000</v>
      </c>
      <c r="P51" s="5">
        <f>35000</f>
        <v>35000</v>
      </c>
      <c r="Q51" s="5">
        <f>35000</f>
        <v>35000</v>
      </c>
      <c r="R51" s="4"/>
      <c r="S51" s="5">
        <f>35000</f>
        <v>35000</v>
      </c>
      <c r="T51" s="4"/>
      <c r="U51" s="4"/>
      <c r="V51" s="4"/>
      <c r="W51" s="4"/>
      <c r="X51" s="4"/>
      <c r="Y51" s="4"/>
      <c r="Z51" s="4"/>
      <c r="AA51" s="4"/>
      <c r="AB51" s="5">
        <f t="shared" si="9"/>
        <v>283000</v>
      </c>
      <c r="AC51" s="5">
        <f t="shared" si="10"/>
        <v>318000</v>
      </c>
    </row>
    <row r="52" spans="1:29" x14ac:dyDescent="0.3">
      <c r="A52" s="3" t="s">
        <v>74</v>
      </c>
      <c r="B52" s="5">
        <f>33765.26</f>
        <v>33765.26</v>
      </c>
      <c r="C52" s="5">
        <f>67530.52</f>
        <v>67530.52</v>
      </c>
      <c r="D52" s="5">
        <f t="shared" ref="D52:M52" si="16">33765.26</f>
        <v>33765.26</v>
      </c>
      <c r="E52" s="5">
        <f t="shared" si="16"/>
        <v>33765.26</v>
      </c>
      <c r="F52" s="5">
        <f t="shared" si="16"/>
        <v>33765.26</v>
      </c>
      <c r="G52" s="5">
        <f t="shared" si="16"/>
        <v>33765.26</v>
      </c>
      <c r="H52" s="5">
        <f t="shared" si="16"/>
        <v>33765.26</v>
      </c>
      <c r="I52" s="5">
        <f t="shared" si="16"/>
        <v>33765.26</v>
      </c>
      <c r="J52" s="5">
        <f t="shared" si="16"/>
        <v>33765.26</v>
      </c>
      <c r="K52" s="5">
        <f t="shared" si="16"/>
        <v>33765.26</v>
      </c>
      <c r="L52" s="5">
        <f t="shared" si="16"/>
        <v>33765.26</v>
      </c>
      <c r="M52" s="5">
        <f t="shared" si="16"/>
        <v>33765.26</v>
      </c>
      <c r="N52" s="5">
        <f>34778.23</f>
        <v>34778.230000000003</v>
      </c>
      <c r="O52" s="5">
        <f>33765.26</f>
        <v>33765.26</v>
      </c>
      <c r="P52" s="5">
        <f>34778.23</f>
        <v>34778.230000000003</v>
      </c>
      <c r="Q52" s="5">
        <f>34778.23</f>
        <v>34778.230000000003</v>
      </c>
      <c r="R52" s="5">
        <f>69778.23</f>
        <v>69778.23</v>
      </c>
      <c r="S52" s="5">
        <f>34778.23</f>
        <v>34778.230000000003</v>
      </c>
      <c r="T52" s="5">
        <f>69778.23</f>
        <v>69778.23</v>
      </c>
      <c r="U52" s="5">
        <f>69778.23</f>
        <v>69778.23</v>
      </c>
      <c r="V52" s="5">
        <f>69778.23</f>
        <v>69778.23</v>
      </c>
      <c r="W52" s="5">
        <f>69778.23</f>
        <v>69778.23</v>
      </c>
      <c r="X52" s="5">
        <f>34778.23</f>
        <v>34778.230000000003</v>
      </c>
      <c r="Y52" s="5">
        <f>69778.23</f>
        <v>69778.23</v>
      </c>
      <c r="Z52" s="5">
        <f>34778.23</f>
        <v>34778.230000000003</v>
      </c>
      <c r="AA52" s="5">
        <f>34778.23</f>
        <v>34778.230000000003</v>
      </c>
      <c r="AB52" s="5">
        <f t="shared" si="9"/>
        <v>551039.16999999993</v>
      </c>
      <c r="AC52" s="5">
        <f t="shared" si="10"/>
        <v>583791.46</v>
      </c>
    </row>
    <row r="53" spans="1:29" x14ac:dyDescent="0.3">
      <c r="A53" s="3" t="s">
        <v>75</v>
      </c>
      <c r="B53" s="5">
        <f>1544.88</f>
        <v>1544.88</v>
      </c>
      <c r="C53" s="5">
        <f>1596.6</f>
        <v>1596.6</v>
      </c>
      <c r="D53" s="5">
        <f>830.1</f>
        <v>830.1</v>
      </c>
      <c r="E53" s="5">
        <f>1544.88</f>
        <v>1544.88</v>
      </c>
      <c r="F53" s="5">
        <f>1240</f>
        <v>1240</v>
      </c>
      <c r="G53" s="5">
        <f>830.1</f>
        <v>830.1</v>
      </c>
      <c r="H53" s="5">
        <f>3600</f>
        <v>3600</v>
      </c>
      <c r="I53" s="5">
        <f>1240</f>
        <v>1240</v>
      </c>
      <c r="J53" s="5">
        <f>8435</f>
        <v>8435</v>
      </c>
      <c r="K53" s="5">
        <f>3600</f>
        <v>3600</v>
      </c>
      <c r="L53" s="5">
        <f>620</f>
        <v>620</v>
      </c>
      <c r="M53" s="5">
        <f>8435</f>
        <v>8435</v>
      </c>
      <c r="N53" s="5">
        <f>1252.35</f>
        <v>1252.3499999999999</v>
      </c>
      <c r="O53" s="5">
        <f>620</f>
        <v>620</v>
      </c>
      <c r="P53" s="5">
        <f>1581.5</f>
        <v>1581.5</v>
      </c>
      <c r="Q53" s="5">
        <f>1252.35</f>
        <v>1252.3499999999999</v>
      </c>
      <c r="R53" s="5">
        <f>790</f>
        <v>790</v>
      </c>
      <c r="S53" s="5">
        <f>1581.5</f>
        <v>1581.5</v>
      </c>
      <c r="T53" s="5">
        <f>2806.37</f>
        <v>2806.37</v>
      </c>
      <c r="U53" s="5">
        <f>790</f>
        <v>790</v>
      </c>
      <c r="V53" s="5">
        <f>620</f>
        <v>620</v>
      </c>
      <c r="W53" s="5">
        <f>2806.37</f>
        <v>2806.37</v>
      </c>
      <c r="X53" s="5">
        <f>1041.65</f>
        <v>1041.6500000000001</v>
      </c>
      <c r="Y53" s="5">
        <f>620</f>
        <v>620</v>
      </c>
      <c r="Z53" s="5">
        <f>2448.2</f>
        <v>2448.1999999999998</v>
      </c>
      <c r="AA53" s="5">
        <f>1041.65</f>
        <v>1041.6500000000001</v>
      </c>
      <c r="AB53" s="5">
        <f t="shared" si="9"/>
        <v>26810.05</v>
      </c>
      <c r="AC53" s="5">
        <f t="shared" si="10"/>
        <v>25958.45</v>
      </c>
    </row>
    <row r="54" spans="1:29" x14ac:dyDescent="0.3">
      <c r="A54" s="3" t="s">
        <v>76</v>
      </c>
      <c r="B54" s="5">
        <f>9025.17</f>
        <v>9025.17</v>
      </c>
      <c r="C54" s="5">
        <f>9308.76</f>
        <v>9308.76</v>
      </c>
      <c r="D54" s="5">
        <f>9533.18</f>
        <v>9533.18</v>
      </c>
      <c r="E54" s="5">
        <f>9025.17</f>
        <v>9025.17</v>
      </c>
      <c r="F54" s="5">
        <f>14006.91</f>
        <v>14006.91</v>
      </c>
      <c r="G54" s="5">
        <f>9533.18</f>
        <v>9533.18</v>
      </c>
      <c r="H54" s="5">
        <f>7722.47</f>
        <v>7722.47</v>
      </c>
      <c r="I54" s="5">
        <f>14006.91</f>
        <v>14006.91</v>
      </c>
      <c r="J54" s="5">
        <f>6206.29</f>
        <v>6206.29</v>
      </c>
      <c r="K54" s="5">
        <f>7722.47</f>
        <v>7722.47</v>
      </c>
      <c r="L54" s="5">
        <f>7335.07</f>
        <v>7335.07</v>
      </c>
      <c r="M54" s="5">
        <f>6206.29</f>
        <v>6206.29</v>
      </c>
      <c r="N54" s="5">
        <f>7807</f>
        <v>7807</v>
      </c>
      <c r="O54" s="5">
        <f>7335.07</f>
        <v>7335.07</v>
      </c>
      <c r="P54" s="5">
        <f>7099.1</f>
        <v>7099.1</v>
      </c>
      <c r="Q54" s="5">
        <f>7807</f>
        <v>7807</v>
      </c>
      <c r="R54" s="5">
        <f>11653.65</f>
        <v>11653.65</v>
      </c>
      <c r="S54" s="5">
        <f>7099.1</f>
        <v>7099.1</v>
      </c>
      <c r="T54" s="5">
        <f>8629.87</f>
        <v>8629.8700000000008</v>
      </c>
      <c r="U54" s="5">
        <f>11653.65</f>
        <v>11653.65</v>
      </c>
      <c r="V54" s="5">
        <f>11783.12</f>
        <v>11783.12</v>
      </c>
      <c r="W54" s="5">
        <f>8629.87</f>
        <v>8629.8700000000008</v>
      </c>
      <c r="X54" s="5">
        <f>11152</f>
        <v>11152</v>
      </c>
      <c r="Y54" s="5">
        <f>11783.12</f>
        <v>11783.12</v>
      </c>
      <c r="Z54" s="5">
        <f>11633.17</f>
        <v>11633.17</v>
      </c>
      <c r="AA54" s="5">
        <f>11152</f>
        <v>11152</v>
      </c>
      <c r="AB54" s="5">
        <f t="shared" si="9"/>
        <v>123586.99999999999</v>
      </c>
      <c r="AC54" s="5">
        <f t="shared" si="10"/>
        <v>121262.59</v>
      </c>
    </row>
    <row r="55" spans="1:29" x14ac:dyDescent="0.3">
      <c r="A55" s="3" t="s">
        <v>77</v>
      </c>
      <c r="B55" s="4"/>
      <c r="C55" s="4"/>
      <c r="D55" s="5">
        <f>132.25</f>
        <v>132.25</v>
      </c>
      <c r="E55" s="4"/>
      <c r="F55" s="4"/>
      <c r="G55" s="5">
        <f>132.25</f>
        <v>132.25</v>
      </c>
      <c r="H55" s="4"/>
      <c r="I55" s="4"/>
      <c r="J55" s="5">
        <f>107.24</f>
        <v>107.24</v>
      </c>
      <c r="K55" s="4"/>
      <c r="L55" s="4"/>
      <c r="M55" s="5">
        <f>107.24</f>
        <v>107.24</v>
      </c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5">
        <f t="shared" si="9"/>
        <v>239.49</v>
      </c>
      <c r="AC55" s="5">
        <f t="shared" si="10"/>
        <v>239.49</v>
      </c>
    </row>
    <row r="56" spans="1:29" x14ac:dyDescent="0.3">
      <c r="A56" s="3" t="s">
        <v>78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5">
        <f>35.85</f>
        <v>35.85</v>
      </c>
      <c r="Q56" s="4"/>
      <c r="R56" s="4"/>
      <c r="S56" s="5">
        <f>35.85</f>
        <v>35.85</v>
      </c>
      <c r="T56" s="4"/>
      <c r="U56" s="4"/>
      <c r="V56" s="4"/>
      <c r="W56" s="4"/>
      <c r="X56" s="4"/>
      <c r="Y56" s="4"/>
      <c r="Z56" s="4"/>
      <c r="AA56" s="4"/>
      <c r="AB56" s="5">
        <f t="shared" si="9"/>
        <v>35.85</v>
      </c>
      <c r="AC56" s="5">
        <f t="shared" si="10"/>
        <v>35.85</v>
      </c>
    </row>
    <row r="57" spans="1:29" x14ac:dyDescent="0.3">
      <c r="A57" s="3" t="s">
        <v>79</v>
      </c>
      <c r="B57" s="4"/>
      <c r="C57" s="5">
        <f>87.74</f>
        <v>87.74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5">
        <f>161.37</f>
        <v>161.37</v>
      </c>
      <c r="O57" s="4"/>
      <c r="P57" s="4"/>
      <c r="Q57" s="5">
        <f>161.37</f>
        <v>161.37</v>
      </c>
      <c r="R57" s="4"/>
      <c r="S57" s="4"/>
      <c r="T57" s="4"/>
      <c r="U57" s="4"/>
      <c r="V57" s="4"/>
      <c r="W57" s="4"/>
      <c r="X57" s="5">
        <f>443.08</f>
        <v>443.08</v>
      </c>
      <c r="Y57" s="4"/>
      <c r="Z57" s="4"/>
      <c r="AA57" s="5">
        <f>443.08</f>
        <v>443.08</v>
      </c>
      <c r="AB57" s="5">
        <f t="shared" si="9"/>
        <v>604.45000000000005</v>
      </c>
      <c r="AC57" s="5">
        <f t="shared" si="10"/>
        <v>692.19</v>
      </c>
    </row>
    <row r="58" spans="1:29" x14ac:dyDescent="0.3">
      <c r="A58" s="3" t="s">
        <v>80</v>
      </c>
      <c r="B58" s="6">
        <f t="shared" ref="B58:AA58" si="17">((B55)+(B56))+(B57)</f>
        <v>0</v>
      </c>
      <c r="C58" s="6">
        <f t="shared" si="17"/>
        <v>87.74</v>
      </c>
      <c r="D58" s="6">
        <f t="shared" si="17"/>
        <v>132.25</v>
      </c>
      <c r="E58" s="6">
        <f t="shared" si="17"/>
        <v>0</v>
      </c>
      <c r="F58" s="6">
        <f t="shared" si="17"/>
        <v>0</v>
      </c>
      <c r="G58" s="6">
        <f t="shared" si="17"/>
        <v>132.25</v>
      </c>
      <c r="H58" s="6">
        <f t="shared" si="17"/>
        <v>0</v>
      </c>
      <c r="I58" s="6">
        <f t="shared" si="17"/>
        <v>0</v>
      </c>
      <c r="J58" s="6">
        <f t="shared" si="17"/>
        <v>107.24</v>
      </c>
      <c r="K58" s="6">
        <f t="shared" si="17"/>
        <v>0</v>
      </c>
      <c r="L58" s="6">
        <f t="shared" si="17"/>
        <v>0</v>
      </c>
      <c r="M58" s="6">
        <f t="shared" si="17"/>
        <v>107.24</v>
      </c>
      <c r="N58" s="6">
        <f t="shared" si="17"/>
        <v>161.37</v>
      </c>
      <c r="O58" s="6">
        <f t="shared" si="17"/>
        <v>0</v>
      </c>
      <c r="P58" s="6">
        <f t="shared" si="17"/>
        <v>35.85</v>
      </c>
      <c r="Q58" s="6">
        <f t="shared" si="17"/>
        <v>161.37</v>
      </c>
      <c r="R58" s="6">
        <f t="shared" si="17"/>
        <v>0</v>
      </c>
      <c r="S58" s="6">
        <f t="shared" si="17"/>
        <v>35.85</v>
      </c>
      <c r="T58" s="6">
        <f t="shared" si="17"/>
        <v>0</v>
      </c>
      <c r="U58" s="6">
        <f t="shared" si="17"/>
        <v>0</v>
      </c>
      <c r="V58" s="6">
        <f t="shared" si="17"/>
        <v>0</v>
      </c>
      <c r="W58" s="6">
        <f t="shared" si="17"/>
        <v>0</v>
      </c>
      <c r="X58" s="6">
        <f t="shared" si="17"/>
        <v>443.08</v>
      </c>
      <c r="Y58" s="6">
        <f t="shared" si="17"/>
        <v>0</v>
      </c>
      <c r="Z58" s="6">
        <f t="shared" si="17"/>
        <v>0</v>
      </c>
      <c r="AA58" s="6">
        <f t="shared" si="17"/>
        <v>443.08</v>
      </c>
      <c r="AB58" s="6">
        <f t="shared" si="9"/>
        <v>879.79</v>
      </c>
      <c r="AC58" s="6">
        <f t="shared" si="10"/>
        <v>967.53</v>
      </c>
    </row>
    <row r="59" spans="1:29" x14ac:dyDescent="0.3">
      <c r="A59" s="3" t="s">
        <v>81</v>
      </c>
      <c r="B59" s="4"/>
      <c r="C59" s="4"/>
      <c r="D59" s="4"/>
      <c r="E59" s="4"/>
      <c r="F59" s="5">
        <f>190</f>
        <v>190</v>
      </c>
      <c r="G59" s="4"/>
      <c r="H59" s="4"/>
      <c r="I59" s="5">
        <f>190</f>
        <v>190</v>
      </c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5">
        <f t="shared" si="9"/>
        <v>190</v>
      </c>
      <c r="AC59" s="5">
        <f t="shared" si="10"/>
        <v>190</v>
      </c>
    </row>
    <row r="60" spans="1:29" x14ac:dyDescent="0.3">
      <c r="A60" s="3" t="s">
        <v>82</v>
      </c>
      <c r="B60" s="5">
        <f>688.91</f>
        <v>688.91</v>
      </c>
      <c r="C60" s="5">
        <f>710.63</f>
        <v>710.63</v>
      </c>
      <c r="D60" s="5">
        <f>727.75</f>
        <v>727.75</v>
      </c>
      <c r="E60" s="5">
        <f>688.91</f>
        <v>688.91</v>
      </c>
      <c r="F60" s="5">
        <f>1068.58</f>
        <v>1068.58</v>
      </c>
      <c r="G60" s="5">
        <f>727.75</f>
        <v>727.75</v>
      </c>
      <c r="H60" s="5">
        <f>589.21</f>
        <v>589.21</v>
      </c>
      <c r="I60" s="5">
        <f>1068.58</f>
        <v>1068.58</v>
      </c>
      <c r="J60" s="5">
        <f>459.73</f>
        <v>459.73</v>
      </c>
      <c r="K60" s="5">
        <f>589.21</f>
        <v>589.21</v>
      </c>
      <c r="L60" s="5">
        <f>689</f>
        <v>689</v>
      </c>
      <c r="M60" s="5">
        <f>459.73</f>
        <v>459.73</v>
      </c>
      <c r="N60" s="5">
        <f>585.18</f>
        <v>585.17999999999995</v>
      </c>
      <c r="O60" s="5">
        <f>689</f>
        <v>689</v>
      </c>
      <c r="P60" s="5">
        <f>506.16</f>
        <v>506.16</v>
      </c>
      <c r="Q60" s="5">
        <f>585.18</f>
        <v>585.17999999999995</v>
      </c>
      <c r="R60" s="5">
        <f>815.55</f>
        <v>815.55</v>
      </c>
      <c r="S60" s="5">
        <f>506.16</f>
        <v>506.16</v>
      </c>
      <c r="T60" s="5">
        <f>608.6</f>
        <v>608.6</v>
      </c>
      <c r="U60" s="5">
        <f>815.55</f>
        <v>815.55</v>
      </c>
      <c r="V60" s="5">
        <f>860.33</f>
        <v>860.33</v>
      </c>
      <c r="W60" s="5">
        <f>608.6</f>
        <v>608.6</v>
      </c>
      <c r="X60" s="5">
        <f>812.42</f>
        <v>812.42</v>
      </c>
      <c r="Y60" s="5">
        <f>860.33</f>
        <v>860.33</v>
      </c>
      <c r="Z60" s="5">
        <f>850.63</f>
        <v>850.63</v>
      </c>
      <c r="AA60" s="5">
        <f>812.42</f>
        <v>812.42</v>
      </c>
      <c r="AB60" s="5">
        <f t="shared" si="9"/>
        <v>9262.0499999999993</v>
      </c>
      <c r="AC60" s="5">
        <f t="shared" si="10"/>
        <v>9122.0500000000011</v>
      </c>
    </row>
    <row r="61" spans="1:29" x14ac:dyDescent="0.3">
      <c r="A61" s="3" t="s">
        <v>83</v>
      </c>
      <c r="B61" s="5">
        <f>949.19</f>
        <v>949.19</v>
      </c>
      <c r="C61" s="5">
        <f>5910.43</f>
        <v>5910.43</v>
      </c>
      <c r="D61" s="5">
        <f>8982.44</f>
        <v>8982.44</v>
      </c>
      <c r="E61" s="5">
        <f>949.19</f>
        <v>949.19</v>
      </c>
      <c r="F61" s="5">
        <f>4620.86</f>
        <v>4620.8599999999997</v>
      </c>
      <c r="G61" s="5">
        <f>8982.44</f>
        <v>8982.44</v>
      </c>
      <c r="H61" s="5">
        <f>4923.62</f>
        <v>4923.62</v>
      </c>
      <c r="I61" s="5">
        <f>4620.86</f>
        <v>4620.8599999999997</v>
      </c>
      <c r="J61" s="5">
        <f>5887.78</f>
        <v>5887.78</v>
      </c>
      <c r="K61" s="5">
        <f>4923.62</f>
        <v>4923.62</v>
      </c>
      <c r="L61" s="5">
        <f>5449.61</f>
        <v>5449.61</v>
      </c>
      <c r="M61" s="5">
        <f>5887.78</f>
        <v>5887.78</v>
      </c>
      <c r="N61" s="5">
        <f>4536.06</f>
        <v>4536.0600000000004</v>
      </c>
      <c r="O61" s="5">
        <f>5449.61</f>
        <v>5449.61</v>
      </c>
      <c r="P61" s="5">
        <f>4164.33</f>
        <v>4164.33</v>
      </c>
      <c r="Q61" s="5">
        <f>4536.06</f>
        <v>4536.0600000000004</v>
      </c>
      <c r="R61" s="5">
        <f>4588.76</f>
        <v>4588.76</v>
      </c>
      <c r="S61" s="5">
        <f>4164.33</f>
        <v>4164.33</v>
      </c>
      <c r="T61" s="5">
        <f>5277.06</f>
        <v>5277.06</v>
      </c>
      <c r="U61" s="5">
        <f>4588.76</f>
        <v>4588.76</v>
      </c>
      <c r="V61" s="5">
        <f>6350.06</f>
        <v>6350.06</v>
      </c>
      <c r="W61" s="5">
        <f>5277.06</f>
        <v>5277.06</v>
      </c>
      <c r="X61" s="5">
        <f>6490.1</f>
        <v>6490.1</v>
      </c>
      <c r="Y61" s="5">
        <f>6350.06</f>
        <v>6350.06</v>
      </c>
      <c r="Z61" s="5">
        <f>5370</f>
        <v>5370</v>
      </c>
      <c r="AA61" s="5">
        <f>6490.1</f>
        <v>6490.1</v>
      </c>
      <c r="AB61" s="5">
        <f t="shared" si="9"/>
        <v>67589.87</v>
      </c>
      <c r="AC61" s="5">
        <f t="shared" si="10"/>
        <v>68130.3</v>
      </c>
    </row>
    <row r="62" spans="1:29" x14ac:dyDescent="0.3">
      <c r="A62" s="3" t="s">
        <v>84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5">
        <f>1071.16</f>
        <v>1071.1600000000001</v>
      </c>
      <c r="M62" s="4"/>
      <c r="N62" s="4"/>
      <c r="O62" s="5">
        <f>1071.16</f>
        <v>1071.1600000000001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5">
        <f t="shared" si="9"/>
        <v>1071.1600000000001</v>
      </c>
      <c r="AC62" s="5">
        <f t="shared" si="10"/>
        <v>1071.1600000000001</v>
      </c>
    </row>
    <row r="63" spans="1:29" x14ac:dyDescent="0.3">
      <c r="A63" s="3" t="s">
        <v>85</v>
      </c>
      <c r="B63" s="6">
        <f t="shared" ref="B63:AA63" si="18">((((((((((((((((((((B31)+(B32))+(B35))+(B36))+(B37))+(B38))+(B41))+(B46))+(B47))+(B48))+(B49))+(B50))+(B51))+(B52))+(B53))+(B54))+(B58))+(B59))+(B60))+(B61))+(B62)</f>
        <v>91748.000000000015</v>
      </c>
      <c r="C63" s="6">
        <f t="shared" si="18"/>
        <v>124880.6</v>
      </c>
      <c r="D63" s="6">
        <f t="shared" si="18"/>
        <v>64258.12</v>
      </c>
      <c r="E63" s="6">
        <f t="shared" si="18"/>
        <v>91748.000000000015</v>
      </c>
      <c r="F63" s="6">
        <f t="shared" si="18"/>
        <v>129153.86000000002</v>
      </c>
      <c r="G63" s="6">
        <f t="shared" si="18"/>
        <v>64258.12</v>
      </c>
      <c r="H63" s="6">
        <f t="shared" si="18"/>
        <v>95395.76</v>
      </c>
      <c r="I63" s="6">
        <f t="shared" si="18"/>
        <v>129153.86000000002</v>
      </c>
      <c r="J63" s="6">
        <f t="shared" si="18"/>
        <v>97337.469999999987</v>
      </c>
      <c r="K63" s="6">
        <f t="shared" si="18"/>
        <v>95395.76</v>
      </c>
      <c r="L63" s="6">
        <f t="shared" si="18"/>
        <v>90844.560000000012</v>
      </c>
      <c r="M63" s="6">
        <f t="shared" si="18"/>
        <v>97337.469999999987</v>
      </c>
      <c r="N63" s="6">
        <f t="shared" si="18"/>
        <v>90204.579999999987</v>
      </c>
      <c r="O63" s="6">
        <f t="shared" si="18"/>
        <v>90844.560000000012</v>
      </c>
      <c r="P63" s="6">
        <f t="shared" si="18"/>
        <v>90142.770000000019</v>
      </c>
      <c r="Q63" s="6">
        <f t="shared" si="18"/>
        <v>90204.579999999987</v>
      </c>
      <c r="R63" s="6">
        <f t="shared" si="18"/>
        <v>90590.979999999981</v>
      </c>
      <c r="S63" s="6">
        <f t="shared" si="18"/>
        <v>90142.770000000019</v>
      </c>
      <c r="T63" s="6">
        <f t="shared" si="18"/>
        <v>93689.59</v>
      </c>
      <c r="U63" s="6">
        <f t="shared" si="18"/>
        <v>90590.979999999981</v>
      </c>
      <c r="V63" s="6">
        <f t="shared" si="18"/>
        <v>94324.799999999988</v>
      </c>
      <c r="W63" s="6">
        <f t="shared" si="18"/>
        <v>93689.59</v>
      </c>
      <c r="X63" s="6">
        <f t="shared" si="18"/>
        <v>57908.270000000004</v>
      </c>
      <c r="Y63" s="6">
        <f t="shared" si="18"/>
        <v>94324.799999999988</v>
      </c>
      <c r="Z63" s="6">
        <f t="shared" si="18"/>
        <v>59097.939999999995</v>
      </c>
      <c r="AA63" s="6">
        <f t="shared" si="18"/>
        <v>57908.270000000004</v>
      </c>
      <c r="AB63" s="6">
        <f t="shared" si="9"/>
        <v>1144696.7</v>
      </c>
      <c r="AC63" s="6">
        <f t="shared" si="10"/>
        <v>1210479.3600000001</v>
      </c>
    </row>
    <row r="64" spans="1:29" x14ac:dyDescent="0.3">
      <c r="A64" s="3" t="s">
        <v>86</v>
      </c>
      <c r="B64" s="6">
        <f t="shared" ref="B64:AA64" si="19">(B27)-(B63)</f>
        <v>3279.3899999999994</v>
      </c>
      <c r="C64" s="6">
        <f t="shared" si="19"/>
        <v>-27753.33</v>
      </c>
      <c r="D64" s="6">
        <f t="shared" si="19"/>
        <v>29610.82999999998</v>
      </c>
      <c r="E64" s="6">
        <f t="shared" si="19"/>
        <v>3279.3899999999994</v>
      </c>
      <c r="F64" s="6">
        <f t="shared" si="19"/>
        <v>-36387.830000000016</v>
      </c>
      <c r="G64" s="6">
        <f t="shared" si="19"/>
        <v>29610.82999999998</v>
      </c>
      <c r="H64" s="6">
        <f t="shared" si="19"/>
        <v>-5465.0899999999965</v>
      </c>
      <c r="I64" s="6">
        <f t="shared" si="19"/>
        <v>-36387.830000000016</v>
      </c>
      <c r="J64" s="6">
        <f t="shared" si="19"/>
        <v>-2333.6899999999732</v>
      </c>
      <c r="K64" s="6">
        <f t="shared" si="19"/>
        <v>-5465.0899999999965</v>
      </c>
      <c r="L64" s="6">
        <f t="shared" si="19"/>
        <v>4091.8799999999756</v>
      </c>
      <c r="M64" s="6">
        <f t="shared" si="19"/>
        <v>-2333.6899999999732</v>
      </c>
      <c r="N64" s="6">
        <f t="shared" si="19"/>
        <v>2314.660000000018</v>
      </c>
      <c r="O64" s="6">
        <f t="shared" si="19"/>
        <v>4091.8799999999756</v>
      </c>
      <c r="P64" s="6">
        <f t="shared" si="19"/>
        <v>702.80999999998312</v>
      </c>
      <c r="Q64" s="6">
        <f t="shared" si="19"/>
        <v>2314.660000000018</v>
      </c>
      <c r="R64" s="6">
        <f t="shared" si="19"/>
        <v>7373.2500000000146</v>
      </c>
      <c r="S64" s="6">
        <f t="shared" si="19"/>
        <v>702.80999999998312</v>
      </c>
      <c r="T64" s="6">
        <f t="shared" si="19"/>
        <v>8343.9600000000064</v>
      </c>
      <c r="U64" s="6">
        <f t="shared" si="19"/>
        <v>7373.2500000000146</v>
      </c>
      <c r="V64" s="6">
        <f t="shared" si="19"/>
        <v>3227</v>
      </c>
      <c r="W64" s="6">
        <f t="shared" si="19"/>
        <v>8343.9600000000064</v>
      </c>
      <c r="X64" s="6">
        <f t="shared" si="19"/>
        <v>36907.37999999999</v>
      </c>
      <c r="Y64" s="6">
        <f t="shared" si="19"/>
        <v>3227</v>
      </c>
      <c r="Z64" s="6">
        <f t="shared" si="19"/>
        <v>31768.390000000021</v>
      </c>
      <c r="AA64" s="6">
        <f t="shared" si="19"/>
        <v>36907.37999999999</v>
      </c>
      <c r="AB64" s="6">
        <f t="shared" si="9"/>
        <v>83432.94</v>
      </c>
      <c r="AC64" s="6">
        <f t="shared" si="10"/>
        <v>23911.219999999979</v>
      </c>
    </row>
    <row r="65" spans="1:29" x14ac:dyDescent="0.3">
      <c r="A65" s="3" t="s">
        <v>87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 spans="1:29" x14ac:dyDescent="0.3">
      <c r="A66" s="3" t="s">
        <v>88</v>
      </c>
      <c r="B66" s="4"/>
      <c r="C66" s="4"/>
      <c r="D66" s="5">
        <f>2.48</f>
        <v>2.48</v>
      </c>
      <c r="E66" s="4"/>
      <c r="F66" s="4"/>
      <c r="G66" s="5">
        <f>2.48</f>
        <v>2.48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5">
        <f>((((((((((((B66)+(D66))+(F66))+(H66))+(J66))+(L66))+(N66))+(P66))+(R66))+(T66))+(V66))+(X66))+(Z66)</f>
        <v>2.48</v>
      </c>
      <c r="AC66" s="5">
        <f>((((((((((((C66)+(E66))+(G66))+(I66))+(K66))+(M66))+(O66))+(Q66))+(S66))+(U66))+(W66))+(Y66))+(AA66)</f>
        <v>2.48</v>
      </c>
    </row>
    <row r="67" spans="1:29" x14ac:dyDescent="0.3">
      <c r="A67" s="3" t="s">
        <v>89</v>
      </c>
      <c r="B67" s="6">
        <f t="shared" ref="B67:AA67" si="20">B66</f>
        <v>0</v>
      </c>
      <c r="C67" s="6">
        <f t="shared" si="20"/>
        <v>0</v>
      </c>
      <c r="D67" s="6">
        <f t="shared" si="20"/>
        <v>2.48</v>
      </c>
      <c r="E67" s="6">
        <f t="shared" si="20"/>
        <v>0</v>
      </c>
      <c r="F67" s="6">
        <f t="shared" si="20"/>
        <v>0</v>
      </c>
      <c r="G67" s="6">
        <f t="shared" si="20"/>
        <v>2.48</v>
      </c>
      <c r="H67" s="6">
        <f t="shared" si="20"/>
        <v>0</v>
      </c>
      <c r="I67" s="6">
        <f t="shared" si="20"/>
        <v>0</v>
      </c>
      <c r="J67" s="6">
        <f t="shared" si="20"/>
        <v>0</v>
      </c>
      <c r="K67" s="6">
        <f t="shared" si="20"/>
        <v>0</v>
      </c>
      <c r="L67" s="6">
        <f t="shared" si="20"/>
        <v>0</v>
      </c>
      <c r="M67" s="6">
        <f t="shared" si="20"/>
        <v>0</v>
      </c>
      <c r="N67" s="6">
        <f t="shared" si="20"/>
        <v>0</v>
      </c>
      <c r="O67" s="6">
        <f t="shared" si="20"/>
        <v>0</v>
      </c>
      <c r="P67" s="6">
        <f t="shared" si="20"/>
        <v>0</v>
      </c>
      <c r="Q67" s="6">
        <f t="shared" si="20"/>
        <v>0</v>
      </c>
      <c r="R67" s="6">
        <f t="shared" si="20"/>
        <v>0</v>
      </c>
      <c r="S67" s="6">
        <f t="shared" si="20"/>
        <v>0</v>
      </c>
      <c r="T67" s="6">
        <f t="shared" si="20"/>
        <v>0</v>
      </c>
      <c r="U67" s="6">
        <f t="shared" si="20"/>
        <v>0</v>
      </c>
      <c r="V67" s="6">
        <f t="shared" si="20"/>
        <v>0</v>
      </c>
      <c r="W67" s="6">
        <f t="shared" si="20"/>
        <v>0</v>
      </c>
      <c r="X67" s="6">
        <f t="shared" si="20"/>
        <v>0</v>
      </c>
      <c r="Y67" s="6">
        <f t="shared" si="20"/>
        <v>0</v>
      </c>
      <c r="Z67" s="6">
        <f t="shared" si="20"/>
        <v>0</v>
      </c>
      <c r="AA67" s="6">
        <f t="shared" si="20"/>
        <v>0</v>
      </c>
      <c r="AB67" s="6">
        <f>((((((((((((B67)+(D67))+(F67))+(H67))+(J67))+(L67))+(N67))+(P67))+(R67))+(T67))+(V67))+(X67))+(Z67)</f>
        <v>2.48</v>
      </c>
      <c r="AC67" s="6">
        <f>((((((((((((C67)+(E67))+(G67))+(I67))+(K67))+(M67))+(O67))+(Q67))+(S67))+(U67))+(W67))+(Y67))+(AA67)</f>
        <v>2.48</v>
      </c>
    </row>
    <row r="68" spans="1:29" x14ac:dyDescent="0.3">
      <c r="A68" s="3" t="s">
        <v>90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</row>
    <row r="69" spans="1:29" x14ac:dyDescent="0.3">
      <c r="A69" s="3" t="s">
        <v>91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5">
        <f>198.96</f>
        <v>198.96</v>
      </c>
      <c r="Q69" s="4"/>
      <c r="R69" s="4"/>
      <c r="S69" s="5">
        <f>198.96</f>
        <v>198.96</v>
      </c>
      <c r="T69" s="4"/>
      <c r="U69" s="4"/>
      <c r="V69" s="4"/>
      <c r="W69" s="4"/>
      <c r="X69" s="4"/>
      <c r="Y69" s="4"/>
      <c r="Z69" s="4"/>
      <c r="AA69" s="4"/>
      <c r="AB69" s="5">
        <f t="shared" ref="AB69:AC73" si="21">((((((((((((B69)+(D69))+(F69))+(H69))+(J69))+(L69))+(N69))+(P69))+(R69))+(T69))+(V69))+(X69))+(Z69)</f>
        <v>198.96</v>
      </c>
      <c r="AC69" s="5">
        <f t="shared" si="21"/>
        <v>198.96</v>
      </c>
    </row>
    <row r="70" spans="1:29" x14ac:dyDescent="0.3">
      <c r="A70" s="3" t="s">
        <v>92</v>
      </c>
      <c r="B70" s="4"/>
      <c r="C70" s="4"/>
      <c r="D70" s="4"/>
      <c r="E70" s="4"/>
      <c r="F70" s="4"/>
      <c r="G70" s="4"/>
      <c r="H70" s="5">
        <f>462</f>
        <v>462</v>
      </c>
      <c r="I70" s="4"/>
      <c r="J70" s="4"/>
      <c r="K70" s="5">
        <f>462</f>
        <v>462</v>
      </c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5">
        <f t="shared" si="21"/>
        <v>462</v>
      </c>
      <c r="AC70" s="5">
        <f t="shared" si="21"/>
        <v>462</v>
      </c>
    </row>
    <row r="71" spans="1:29" x14ac:dyDescent="0.3">
      <c r="A71" s="3" t="s">
        <v>93</v>
      </c>
      <c r="B71" s="6">
        <f t="shared" ref="B71:AA71" si="22">(B69)+(B70)</f>
        <v>0</v>
      </c>
      <c r="C71" s="6">
        <f t="shared" si="22"/>
        <v>0</v>
      </c>
      <c r="D71" s="6">
        <f t="shared" si="22"/>
        <v>0</v>
      </c>
      <c r="E71" s="6">
        <f t="shared" si="22"/>
        <v>0</v>
      </c>
      <c r="F71" s="6">
        <f t="shared" si="22"/>
        <v>0</v>
      </c>
      <c r="G71" s="6">
        <f t="shared" si="22"/>
        <v>0</v>
      </c>
      <c r="H71" s="6">
        <f t="shared" si="22"/>
        <v>462</v>
      </c>
      <c r="I71" s="6">
        <f t="shared" si="22"/>
        <v>0</v>
      </c>
      <c r="J71" s="6">
        <f t="shared" si="22"/>
        <v>0</v>
      </c>
      <c r="K71" s="6">
        <f t="shared" si="22"/>
        <v>462</v>
      </c>
      <c r="L71" s="6">
        <f t="shared" si="22"/>
        <v>0</v>
      </c>
      <c r="M71" s="6">
        <f t="shared" si="22"/>
        <v>0</v>
      </c>
      <c r="N71" s="6">
        <f t="shared" si="22"/>
        <v>0</v>
      </c>
      <c r="O71" s="6">
        <f t="shared" si="22"/>
        <v>0</v>
      </c>
      <c r="P71" s="6">
        <f t="shared" si="22"/>
        <v>198.96</v>
      </c>
      <c r="Q71" s="6">
        <f t="shared" si="22"/>
        <v>0</v>
      </c>
      <c r="R71" s="6">
        <f t="shared" si="22"/>
        <v>0</v>
      </c>
      <c r="S71" s="6">
        <f t="shared" si="22"/>
        <v>198.96</v>
      </c>
      <c r="T71" s="6">
        <f t="shared" si="22"/>
        <v>0</v>
      </c>
      <c r="U71" s="6">
        <f t="shared" si="22"/>
        <v>0</v>
      </c>
      <c r="V71" s="6">
        <f t="shared" si="22"/>
        <v>0</v>
      </c>
      <c r="W71" s="6">
        <f t="shared" si="22"/>
        <v>0</v>
      </c>
      <c r="X71" s="6">
        <f t="shared" si="22"/>
        <v>0</v>
      </c>
      <c r="Y71" s="6">
        <f t="shared" si="22"/>
        <v>0</v>
      </c>
      <c r="Z71" s="6">
        <f t="shared" si="22"/>
        <v>0</v>
      </c>
      <c r="AA71" s="6">
        <f t="shared" si="22"/>
        <v>0</v>
      </c>
      <c r="AB71" s="6">
        <f t="shared" si="21"/>
        <v>660.96</v>
      </c>
      <c r="AC71" s="6">
        <f t="shared" si="21"/>
        <v>660.96</v>
      </c>
    </row>
    <row r="72" spans="1:29" x14ac:dyDescent="0.3">
      <c r="A72" s="3" t="s">
        <v>94</v>
      </c>
      <c r="B72" s="6">
        <f t="shared" ref="B72:AA72" si="23">(B67)-(B71)</f>
        <v>0</v>
      </c>
      <c r="C72" s="6">
        <f t="shared" si="23"/>
        <v>0</v>
      </c>
      <c r="D72" s="6">
        <f t="shared" si="23"/>
        <v>2.48</v>
      </c>
      <c r="E72" s="6">
        <f t="shared" si="23"/>
        <v>0</v>
      </c>
      <c r="F72" s="6">
        <f t="shared" si="23"/>
        <v>0</v>
      </c>
      <c r="G72" s="6">
        <f t="shared" si="23"/>
        <v>2.48</v>
      </c>
      <c r="H72" s="6">
        <f t="shared" si="23"/>
        <v>-462</v>
      </c>
      <c r="I72" s="6">
        <f t="shared" si="23"/>
        <v>0</v>
      </c>
      <c r="J72" s="6">
        <f t="shared" si="23"/>
        <v>0</v>
      </c>
      <c r="K72" s="6">
        <f t="shared" si="23"/>
        <v>-462</v>
      </c>
      <c r="L72" s="6">
        <f t="shared" si="23"/>
        <v>0</v>
      </c>
      <c r="M72" s="6">
        <f t="shared" si="23"/>
        <v>0</v>
      </c>
      <c r="N72" s="6">
        <f t="shared" si="23"/>
        <v>0</v>
      </c>
      <c r="O72" s="6">
        <f t="shared" si="23"/>
        <v>0</v>
      </c>
      <c r="P72" s="6">
        <f t="shared" si="23"/>
        <v>-198.96</v>
      </c>
      <c r="Q72" s="6">
        <f t="shared" si="23"/>
        <v>0</v>
      </c>
      <c r="R72" s="6">
        <f t="shared" si="23"/>
        <v>0</v>
      </c>
      <c r="S72" s="6">
        <f t="shared" si="23"/>
        <v>-198.96</v>
      </c>
      <c r="T72" s="6">
        <f t="shared" si="23"/>
        <v>0</v>
      </c>
      <c r="U72" s="6">
        <f t="shared" si="23"/>
        <v>0</v>
      </c>
      <c r="V72" s="6">
        <f t="shared" si="23"/>
        <v>0</v>
      </c>
      <c r="W72" s="6">
        <f t="shared" si="23"/>
        <v>0</v>
      </c>
      <c r="X72" s="6">
        <f t="shared" si="23"/>
        <v>0</v>
      </c>
      <c r="Y72" s="6">
        <f t="shared" si="23"/>
        <v>0</v>
      </c>
      <c r="Z72" s="6">
        <f t="shared" si="23"/>
        <v>0</v>
      </c>
      <c r="AA72" s="6">
        <f t="shared" si="23"/>
        <v>0</v>
      </c>
      <c r="AB72" s="6">
        <f t="shared" si="21"/>
        <v>-658.48</v>
      </c>
      <c r="AC72" s="6">
        <f t="shared" si="21"/>
        <v>-658.48</v>
      </c>
    </row>
    <row r="73" spans="1:29" x14ac:dyDescent="0.3">
      <c r="A73" s="3" t="s">
        <v>95</v>
      </c>
      <c r="B73" s="7">
        <f t="shared" ref="B73:AA73" si="24">(B64)+(B72)</f>
        <v>3279.3899999999994</v>
      </c>
      <c r="C73" s="7">
        <f t="shared" si="24"/>
        <v>-27753.33</v>
      </c>
      <c r="D73" s="7">
        <f t="shared" si="24"/>
        <v>29613.309999999979</v>
      </c>
      <c r="E73" s="7">
        <f t="shared" si="24"/>
        <v>3279.3899999999994</v>
      </c>
      <c r="F73" s="7">
        <f t="shared" si="24"/>
        <v>-36387.830000000016</v>
      </c>
      <c r="G73" s="7">
        <f t="shared" si="24"/>
        <v>29613.309999999979</v>
      </c>
      <c r="H73" s="7">
        <f t="shared" si="24"/>
        <v>-5927.0899999999965</v>
      </c>
      <c r="I73" s="7">
        <f t="shared" si="24"/>
        <v>-36387.830000000016</v>
      </c>
      <c r="J73" s="7">
        <f t="shared" si="24"/>
        <v>-2333.6899999999732</v>
      </c>
      <c r="K73" s="7">
        <f t="shared" si="24"/>
        <v>-5927.0899999999965</v>
      </c>
      <c r="L73" s="7">
        <f t="shared" si="24"/>
        <v>4091.8799999999756</v>
      </c>
      <c r="M73" s="7">
        <f t="shared" si="24"/>
        <v>-2333.6899999999732</v>
      </c>
      <c r="N73" s="7">
        <f t="shared" si="24"/>
        <v>2314.660000000018</v>
      </c>
      <c r="O73" s="7">
        <f t="shared" si="24"/>
        <v>4091.8799999999756</v>
      </c>
      <c r="P73" s="7">
        <f t="shared" si="24"/>
        <v>503.84999999998308</v>
      </c>
      <c r="Q73" s="7">
        <f t="shared" si="24"/>
        <v>2314.660000000018</v>
      </c>
      <c r="R73" s="7">
        <f t="shared" si="24"/>
        <v>7373.2500000000146</v>
      </c>
      <c r="S73" s="7">
        <f t="shared" si="24"/>
        <v>503.84999999998308</v>
      </c>
      <c r="T73" s="7">
        <f t="shared" si="24"/>
        <v>8343.9600000000064</v>
      </c>
      <c r="U73" s="7">
        <f t="shared" si="24"/>
        <v>7373.2500000000146</v>
      </c>
      <c r="V73" s="7">
        <f t="shared" si="24"/>
        <v>3227</v>
      </c>
      <c r="W73" s="7">
        <f t="shared" si="24"/>
        <v>8343.9600000000064</v>
      </c>
      <c r="X73" s="7">
        <f t="shared" si="24"/>
        <v>36907.37999999999</v>
      </c>
      <c r="Y73" s="7">
        <f t="shared" si="24"/>
        <v>3227</v>
      </c>
      <c r="Z73" s="7">
        <f t="shared" si="24"/>
        <v>31768.390000000021</v>
      </c>
      <c r="AA73" s="7">
        <f t="shared" si="24"/>
        <v>36907.37999999999</v>
      </c>
      <c r="AB73" s="7">
        <f t="shared" si="21"/>
        <v>82774.460000000006</v>
      </c>
      <c r="AC73" s="7">
        <f t="shared" si="21"/>
        <v>23252.739999999983</v>
      </c>
    </row>
    <row r="74" spans="1:29" x14ac:dyDescent="0.3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</row>
    <row r="77" spans="1:29" x14ac:dyDescent="0.3">
      <c r="A77" s="10" t="s">
        <v>96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</row>
  </sheetData>
  <mergeCells count="18">
    <mergeCell ref="A1:AC1"/>
    <mergeCell ref="A2:AC2"/>
    <mergeCell ref="A3:AC3"/>
    <mergeCell ref="V5:W5"/>
    <mergeCell ref="X5:Y5"/>
    <mergeCell ref="Z5:AA5"/>
    <mergeCell ref="AB5:AC5"/>
    <mergeCell ref="A77:AC77"/>
    <mergeCell ref="L5:M5"/>
    <mergeCell ref="N5:O5"/>
    <mergeCell ref="P5:Q5"/>
    <mergeCell ref="R5:S5"/>
    <mergeCell ref="T5:U5"/>
    <mergeCell ref="B5:C5"/>
    <mergeCell ref="D5:E5"/>
    <mergeCell ref="F5:G5"/>
    <mergeCell ref="H5:I5"/>
    <mergeCell ref="J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Profit and Loss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Shot Spot</cp:lastModifiedBy>
  <dcterms:created xsi:type="dcterms:W3CDTF">2024-10-25T17:02:03Z</dcterms:created>
  <dcterms:modified xsi:type="dcterms:W3CDTF">2024-10-25T17:03:08Z</dcterms:modified>
</cp:coreProperties>
</file>